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codeName="ThisWorkbook" defaultThemeVersion="166925"/>
  <xr:revisionPtr revIDLastSave="0" documentId="13_ncr:1_{3DE2E367-A8B1-497D-A721-3722200980FB}" xr6:coauthVersionLast="47" xr6:coauthVersionMax="47" xr10:uidLastSave="{00000000-0000-0000-0000-000000000000}"/>
  <bookViews>
    <workbookView xWindow="-120" yWindow="-16320" windowWidth="29040" windowHeight="15840" activeTab="2"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8" l="1"/>
  <c r="J6" i="8"/>
  <c r="D11" i="6" l="1"/>
  <c r="D10" i="6"/>
  <c r="D9" i="6"/>
  <c r="D8" i="6"/>
  <c r="I25" i="6" l="1"/>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<sst xmlns="http://schemas.openxmlformats.org/spreadsheetml/2006/main" count="455" uniqueCount="270">
  <si>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</si>
  <si>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</si>
  <si>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</si>
  <si>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</si>
  <si>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</si>
  <si>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</si>
  <si>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</si>
  <si>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</si>
  <si>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</si>
  <si>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</si>
  <si>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</si>
  <si>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</si>
  <si>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</si>
  <si>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</si>
  <si>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</si>
  <si>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</si>
  <si>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</si>
  <si>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</si>
  <si>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</si>
  <si>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</si>
  <si>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</si>
  <si>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</si>
  <si>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</si>
  <si>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</si>
  <si>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</si>
  <si>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</si>
  <si>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</si>
  <si>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</si>
  <si>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</si>
  <si>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</si>
  <si>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</si>
  <si>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</si>
  <si>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</si>
  <si>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</si>
  <si>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</si>
  <si>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</si>
  <si>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</si>
  <si>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</si>
  <si>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</si>
  <si>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</si>
  <si>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</si>
  <si>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</si>
  <si>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</si>
  <si>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</si>
  <si>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</si>
  <si>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</si>
  <si>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</si>
  <si>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</si>
  <si>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</si>
  <si>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</si>
  <si>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</si>
  <si>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</si>
  <si>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</si>
  <si>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</si>
  <si>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</si>
  <si>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</si>
  <si>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</si>
  <si>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</si>
  <si>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</si>
  <si>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</si>
  <si>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</si>
  <si>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</si>
  <si>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</si>
  <si>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</si>
  <si>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</si>
  <si>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</si>
  <si>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</si>
  <si>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</si>
  <si>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</si>
  <si>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</si>
  <si>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</si>
  <si>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</si>
  <si>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</si>
  <si>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</si>
  <si>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</si>
  <si>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</si>
  <si>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</si>
  <si>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</si>
  <si>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</si>
  <si>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</si>
  <si>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</si>
  <si>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</si>
  <si>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</si>
  <si>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</si>
  <si>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</si>
  <si>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</si>
  <si>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</si>
  <si>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</si>
  <si>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</si>
  <si>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</si>
  <si>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</si>
  <si>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</si>
  <si>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</si>
  <si>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</si>
  <si>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</si>
  <si>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</si>
  <si>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</si>
  <si>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</si>
  <si>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</si>
  <si>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</si>
  <si>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</si>
  <si>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</si>
  <si>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</si>
  <si>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</si>
  <si>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</si>
  <si>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</si>
  <si>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</si>
  <si>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</si>
  <si>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</si>
  <si>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</si>
  <si>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</si>
  <si>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</si>
  <si>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</si>
  <si>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</si>
  <si>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</si>
  <si>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</si>
  <si>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</si>
  <si>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</si>
  <si>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</si>
  <si>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</si>
  <si>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</si>
  <si>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</si>
  <si>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</si>
  <si>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</si>
  <si>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</si>
  <si>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</si>
  <si>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</si>
  <si>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</si>
  <si>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</si>
  <si>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</si>
  <si>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</si>
  <si>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</si>
  <si>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</si>
  <si>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</si>
  <si>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</si>
  <si>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</si>
  <si>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</si>
  <si>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</si>
  <si>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</si>
  <si>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</si>
  <si>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</si>
  <si>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</si>
  <si>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</si>
  <si>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</si>
  <si>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</si>
  <si>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</si>
  <si>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</si>
  <si>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</si>
  <si>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</si>
  <si>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</si>
  <si>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</si>
  <si>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</si>
  <si>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</si>
  <si>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</si>
  <si>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</si>
  <si>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</si>
  <si>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</si>
  <si>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</si>
  <si>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</si>
  <si>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</si>
  <si>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</si>
  <si>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</si>
  <si>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</si>
  <si>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</si>
  <si>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</si>
  <si>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</si>
  <si>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</si>
  <si>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</si>
  <si>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</si>
  <si>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</si>
  <si>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</si>
  <si>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</si>
  <si>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</si>
  <si>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</si>
  <si>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</si>
  <si>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</si>
  <si>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</si>
  <si>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</si>
  <si>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</si>
  <si>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</si>
  <si>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</si>
  <si>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</si>
  <si>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</si>
  <si>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</si>
  <si>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</si>
  <si>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</si>
  <si>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</si>
  <si>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</si>
  <si>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</si>
  <si>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</si>
  <si>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</si>
  <si>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</si>
  <si>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</si>
  <si>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</si>
  <si>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</si>
  <si>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</si>
  <si>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</si>
  <si>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</si>
  <si>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</si>
  <si>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</si>
  <si>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</si>
  <si>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</si>
  <si>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</si>
  <si>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</si>
  <si>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</si>
  <si>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</si>
  <si>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</si>
  <si>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</si>
  <si>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</si>
  <si>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</si>
  <si>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</si>
  <si>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</si>
  <si>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</si>
  <si>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</si>
  <si>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</si>
  <si>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</si>
  <si>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</si>
  <si>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</si>
  <si>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</si>
  <si>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</si>
  <si>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</si>
  <si>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</si>
  <si>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</si>
  <si>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</si>
  <si>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</si>
  <si>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</si>
  <si>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</si>
  <si>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</si>
  <si>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</si>
  <si>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</si>
  <si>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</si>
  <si>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</si>
  <si>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</si>
  <si>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</si>
  <si>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</si>
  <si>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</si>
  <si>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</si>
  <si>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</si>
  <si>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</si>
  <si>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</si>
  <si>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</si>
  <si>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</si>
  <si>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</si>
  <si>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</si>
  <si>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</si>
  <si>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</si>
  <si>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</si>
  <si>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</si>
  <si>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</si>
  <si>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</si>
  <si>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</si>
  <si>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</si>
  <si>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</si>
  <si>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</si>
  <si>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</si>
  <si>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</si>
  <si>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</si>
  <si>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</si>
  <si>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</si>
  <si>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LB Haringey</t>
  </si>
  <si>
    <t>N</t>
  </si>
  <si>
    <t>Y</t>
  </si>
  <si>
    <t>N/A</t>
  </si>
  <si>
    <t>Air</t>
  </si>
  <si>
    <t>Proposed Dwelling</t>
  </si>
  <si>
    <t>Yes</t>
  </si>
  <si>
    <t>Part L1 - SAP 10.2</t>
  </si>
  <si>
    <t>CIBSE TM54</t>
  </si>
  <si>
    <t>To be completed at detailed design stage</t>
  </si>
  <si>
    <t>Provided in manufacturer specifications for proposed system - Mitsuishi Ecodan R32 Monobloc PUZ-WM60VAA. Available at https://library.mitsubishielectric.co.uk/pdf/book/Ecodan_PUZ-WM60VAA_Monobloc_Air_Source_Heat_Pump_Product_Information_Sheet#page-1-2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</si>
</sst>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0.6507099999999999</c:v>
                </c:pt>
                <c:pt idx="2">
                  <c:v>0.6507099999999999</c:v>
                </c:pt>
                <c:pt idx="3">
                  <c:v>-0.22730400000000001</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0.25936700000000013</c:v>
                </c:pt>
                <c:pt idx="2">
                  <c:v>0</c:v>
                </c:pt>
                <c:pt idx="3">
                  <c:v>0.6507099999999999</c:v>
                </c:pt>
                <c:pt idx="4">
                  <c:v>-0.22730399999999995</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0.91007700000000002</c:v>
                </c:pt>
                <c:pt idx="1">
                  <c:v>0.91007700000000002</c:v>
                </c:pt>
                <c:pt idx="2">
                  <c:v>0.91007700000000002</c:v>
                </c:pt>
                <c:pt idx="3">
                  <c:v>0.91007700000000002</c:v>
                </c:pt>
                <c:pt idx="4">
                  <c:v>0.91007700000000002</c:v>
                </c:pt>
                <c:pt idx="5">
                  <c:v>0.91007700000000002</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0.59155005000000005</c:v>
                </c:pt>
                <c:pt idx="1">
                  <c:v>0.59155005000000005</c:v>
                </c:pt>
                <c:pt idx="2">
                  <c:v>0.59155005000000005</c:v>
                </c:pt>
                <c:pt idx="3">
                  <c:v>0.59155005000000005</c:v>
                </c:pt>
                <c:pt idx="4">
                  <c:v>0.59155005000000005</c:v>
                </c:pt>
                <c:pt idx="5">
                  <c:v>0.59155005000000005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257</v>
      </c>
      <c r="B1" s="227"/>
      <c r="C1" s="227"/>
      <c r="D1" s="227"/>
      <c r="E1" s="227"/>
      <c r="F1" s="227"/>
      <c r="G1" s="227"/>
      <c r="H1" s="227"/>
      <c r="I1" s="227"/>
      <c r="J1" s="227"/>
    </row>
    <row r="2" spans="1:16384" ht="25.15" customHeight="1">
      <c r="A2" s="230" t="s">
        <v>242</v>
      </c>
      <c r="B2" s="230"/>
      <c r="C2" s="230"/>
      <c r="D2" s="230"/>
      <c r="E2" s="230"/>
      <c r="F2" s="230"/>
      <c r="G2" s="230"/>
      <c r="H2" s="230"/>
      <c r="I2" s="230"/>
      <c r="J2" s="230"/>
      <c r="K2" s="230"/>
      <c r="L2" s="230"/>
    </row>
    <row r="3" spans="1:16384" ht="45" customHeight="1">
      <c r="A3" s="229" t="s">
        <v>243</v>
      </c>
      <c r="B3" s="229"/>
      <c r="C3" s="229"/>
      <c r="D3" s="229"/>
      <c r="E3" s="229"/>
      <c r="F3" s="229"/>
      <c r="G3" s="229"/>
      <c r="H3" s="229"/>
      <c r="I3" s="229"/>
      <c r="J3" s="229"/>
      <c r="K3" s="229"/>
      <c r="L3" s="229"/>
    </row>
    <row r="4" spans="1:16384" ht="38.65" customHeight="1">
      <c r="A4" s="229" t="s">
        <v>244</v>
      </c>
      <c r="B4" s="229"/>
      <c r="C4" s="229"/>
      <c r="D4" s="229"/>
      <c r="E4" s="229"/>
      <c r="F4" s="229"/>
      <c r="G4" s="229"/>
      <c r="H4" s="229"/>
      <c r="I4" s="229"/>
      <c r="J4" s="229"/>
      <c r="K4" s="229"/>
      <c r="L4" s="229"/>
    </row>
    <row r="5" spans="1:16384" ht="41.65" customHeight="1">
      <c r="A5" s="229" t="s">
        <v>245</v>
      </c>
      <c r="B5" s="229"/>
      <c r="C5" s="229"/>
      <c r="D5" s="229"/>
      <c r="E5" s="229"/>
      <c r="F5" s="229"/>
      <c r="G5" s="229"/>
      <c r="H5" s="229"/>
      <c r="I5" s="229"/>
      <c r="J5" s="229"/>
      <c r="K5" s="229"/>
      <c r="L5" s="229"/>
    </row>
    <row r="6" spans="1:16384" ht="32.65" customHeight="1">
      <c r="A6" s="229" t="s">
        <v>246</v>
      </c>
      <c r="B6" s="229"/>
      <c r="C6" s="229"/>
      <c r="D6" s="229"/>
      <c r="E6" s="229"/>
      <c r="F6" s="229"/>
      <c r="G6" s="229"/>
      <c r="H6" s="229"/>
      <c r="I6" s="229"/>
      <c r="J6" s="229"/>
      <c r="K6" s="229"/>
      <c r="L6" s="229"/>
    </row>
    <row r="7" spans="1:16384" ht="25.5" customHeight="1">
      <c r="A7" s="228" t="s">
        <v>247</v>
      </c>
      <c r="B7" s="229"/>
      <c r="C7" s="229"/>
      <c r="D7" s="229"/>
      <c r="E7" s="229"/>
      <c r="F7" s="229"/>
      <c r="G7" s="229"/>
      <c r="H7" s="229"/>
      <c r="I7" s="229"/>
      <c r="J7" s="229"/>
      <c r="K7" s="229"/>
      <c r="L7" s="229"/>
    </row>
    <row r="8" spans="1:16384" ht="36.75" customHeight="1">
      <c r="A8" s="230" t="s">
        <v>248</v>
      </c>
      <c r="B8" s="230"/>
      <c r="C8" s="230"/>
      <c r="D8" s="230"/>
      <c r="E8" s="230"/>
      <c r="F8" s="230"/>
      <c r="G8" s="230"/>
      <c r="H8" s="230"/>
      <c r="I8" s="230"/>
      <c r="J8" s="230"/>
      <c r="K8" s="230"/>
      <c r="L8" s="230"/>
    </row>
    <row r="9" spans="1:16384" ht="33" customHeight="1">
      <c r="A9" s="229" t="s">
        <v>249</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250</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251</v>
      </c>
      <c r="B14" s="229"/>
      <c r="C14" s="229"/>
      <c r="D14" s="229"/>
      <c r="E14" s="229"/>
      <c r="F14" s="229"/>
      <c r="G14" s="229"/>
      <c r="H14" s="229"/>
      <c r="I14" s="229"/>
      <c r="J14" s="229"/>
      <c r="K14" s="229"/>
      <c r="L14" s="229"/>
    </row>
    <row r="15" spans="1:16384" s="221" customFormat="1">
      <c r="A15" s="229" t="s">
        <v>252</v>
      </c>
      <c r="B15" s="229"/>
      <c r="C15" s="229"/>
      <c r="D15" s="229"/>
      <c r="E15" s="229"/>
      <c r="F15" s="229"/>
      <c r="G15" s="229"/>
      <c r="H15" s="229"/>
      <c r="I15" s="229"/>
      <c r="J15" s="229"/>
      <c r="K15" s="229"/>
      <c r="L15" s="229"/>
    </row>
    <row r="16" spans="1:16384" ht="60.6" customHeight="1">
      <c r="A16" s="229" t="s">
        <v>253</v>
      </c>
      <c r="B16" s="229"/>
      <c r="C16" s="229"/>
      <c r="D16" s="229"/>
      <c r="E16" s="229"/>
      <c r="F16" s="229"/>
      <c r="G16" s="229"/>
      <c r="H16" s="229"/>
      <c r="I16" s="229"/>
      <c r="J16" s="229"/>
      <c r="K16" s="229"/>
      <c r="L16" s="229"/>
    </row>
    <row r="17" spans="1:12" ht="51" customHeight="1">
      <c r="A17" s="229" t="s">
        <v>254</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D49" sqref="D49"/>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158</v>
      </c>
      <c r="B1" s="198"/>
      <c r="C1" s="198"/>
      <c r="F1" s="200"/>
    </row>
    <row r="2" spans="1:6" ht="37.5" customHeight="1">
      <c r="A2" s="235" t="s">
        <v>159</v>
      </c>
      <c r="B2" s="235"/>
      <c r="C2" s="201" t="s">
        <v>258</v>
      </c>
    </row>
    <row r="3" spans="1:6" ht="37.5" customHeight="1">
      <c r="A3" s="235" t="s">
        <v>160</v>
      </c>
      <c r="B3" s="235"/>
      <c r="C3" s="201" t="s">
        <v>258</v>
      </c>
    </row>
    <row r="4" spans="1:6" ht="37.5" customHeight="1">
      <c r="A4" s="235" t="s">
        <v>161</v>
      </c>
      <c r="B4" s="235"/>
      <c r="C4" s="201" t="s">
        <v>258</v>
      </c>
    </row>
    <row r="5" spans="1:6" ht="61.5" customHeight="1">
      <c r="A5" s="235" t="s">
        <v>162</v>
      </c>
      <c r="B5" s="235"/>
      <c r="C5" s="201" t="s">
        <v>258</v>
      </c>
      <c r="D5" s="203"/>
    </row>
    <row r="6" spans="1:6" ht="12.75" thickBot="1"/>
    <row r="7" spans="1:6" ht="24.75" thickTop="1">
      <c r="A7" s="204" t="s">
        <v>163</v>
      </c>
      <c r="B7" s="205"/>
      <c r="C7" s="205" t="s">
        <v>164</v>
      </c>
      <c r="D7" s="205" t="s">
        <v>165</v>
      </c>
      <c r="E7" s="206" t="s">
        <v>166</v>
      </c>
    </row>
    <row r="8" spans="1:6" ht="24">
      <c r="A8" s="236" t="s">
        <v>167</v>
      </c>
      <c r="B8" s="207" t="s">
        <v>0</v>
      </c>
      <c r="C8" s="207" t="s">
        <v>1</v>
      </c>
      <c r="D8" s="208">
        <v>45047</v>
      </c>
      <c r="E8" s="208"/>
    </row>
    <row r="9" spans="1:6" ht="24">
      <c r="A9" s="236"/>
      <c r="B9" s="207" t="s">
        <v>2</v>
      </c>
      <c r="C9" s="207" t="s">
        <v>3</v>
      </c>
      <c r="D9" s="208" t="s">
        <v>259</v>
      </c>
      <c r="E9" s="208"/>
    </row>
    <row r="10" spans="1:6" ht="48">
      <c r="A10" s="236"/>
      <c r="B10" s="207" t="s">
        <v>4</v>
      </c>
      <c r="C10" s="207" t="s">
        <v>168</v>
      </c>
      <c r="D10" s="224">
        <v>95</v>
      </c>
      <c r="E10" s="208"/>
    </row>
    <row r="11" spans="1:6" ht="24">
      <c r="A11" s="236"/>
      <c r="B11" s="207" t="s">
        <v>169</v>
      </c>
      <c r="C11" s="207"/>
      <c r="D11" s="208" t="s">
        <v>260</v>
      </c>
      <c r="E11" s="208"/>
      <c r="F11" s="209"/>
    </row>
    <row r="12" spans="1:6" ht="25.5" customHeight="1">
      <c r="A12" s="236"/>
      <c r="B12" s="207" t="s">
        <v>170</v>
      </c>
      <c r="C12" s="207"/>
      <c r="D12" s="225">
        <v>1</v>
      </c>
      <c r="E12" s="208"/>
    </row>
    <row r="13" spans="1:6" ht="25.5" customHeight="1">
      <c r="A13" s="236"/>
      <c r="B13" s="207" t="s">
        <v>171</v>
      </c>
      <c r="C13" s="207"/>
      <c r="D13" s="224" t="s">
        <v>262</v>
      </c>
      <c r="E13" s="208"/>
    </row>
    <row r="14" spans="1:6" ht="24">
      <c r="A14" s="232" t="s">
        <v>172</v>
      </c>
      <c r="B14" s="207" t="s">
        <v>173</v>
      </c>
      <c r="C14" s="207"/>
      <c r="D14" s="208" t="s">
        <v>260</v>
      </c>
      <c r="E14" s="208"/>
    </row>
    <row r="15" spans="1:6" ht="24">
      <c r="A15" s="233"/>
      <c r="B15" s="207" t="s">
        <v>174</v>
      </c>
      <c r="C15" s="207"/>
      <c r="D15" s="208" t="s">
        <v>260</v>
      </c>
      <c r="E15" s="208"/>
    </row>
    <row r="16" spans="1:6" ht="24">
      <c r="A16" s="233"/>
      <c r="B16" s="207" t="s">
        <v>175</v>
      </c>
      <c r="C16" s="207"/>
      <c r="D16" s="208" t="s">
        <v>260</v>
      </c>
      <c r="E16" s="208"/>
    </row>
    <row r="17" spans="1:6" ht="24">
      <c r="A17" s="233"/>
      <c r="B17" s="207" t="s">
        <v>176</v>
      </c>
      <c r="C17" s="207"/>
      <c r="D17" s="208" t="s">
        <v>260</v>
      </c>
      <c r="E17" s="208"/>
    </row>
    <row r="18" spans="1:6" ht="14.65" customHeight="1">
      <c r="A18" s="233"/>
      <c r="B18" s="207" t="s">
        <v>177</v>
      </c>
      <c r="C18" s="207"/>
      <c r="D18" s="224">
        <v>0.63</v>
      </c>
      <c r="E18" s="208"/>
    </row>
    <row r="19" spans="1:6" ht="14.65" customHeight="1">
      <c r="A19" s="233"/>
      <c r="B19" s="207" t="s">
        <v>178</v>
      </c>
      <c r="C19" s="207"/>
      <c r="D19" s="224">
        <v>0.14000000000000001</v>
      </c>
      <c r="E19" s="208"/>
    </row>
    <row r="20" spans="1:6" ht="14.65" customHeight="1">
      <c r="A20" s="234"/>
      <c r="B20" s="207" t="s">
        <v>179</v>
      </c>
      <c r="C20" s="207"/>
      <c r="D20" s="208" t="s">
        <v>260</v>
      </c>
      <c r="E20" s="208"/>
    </row>
    <row r="21" spans="1:6" ht="14.65" customHeight="1">
      <c r="A21" s="232" t="s">
        <v>180</v>
      </c>
      <c r="B21" s="210" t="s">
        <v>181</v>
      </c>
      <c r="C21" s="210"/>
      <c r="D21" s="208" t="s">
        <v>261</v>
      </c>
      <c r="E21" s="208"/>
    </row>
    <row r="22" spans="1:6" ht="24">
      <c r="A22" s="233"/>
      <c r="B22" s="210" t="s">
        <v>182</v>
      </c>
      <c r="C22" s="210"/>
      <c r="D22" s="208" t="s">
        <v>261</v>
      </c>
      <c r="E22" s="208"/>
    </row>
    <row r="23" spans="1:6" ht="14.65" customHeight="1">
      <c r="A23" s="233"/>
      <c r="B23" s="210" t="s">
        <v>183</v>
      </c>
      <c r="C23" s="210"/>
      <c r="D23" s="208" t="s">
        <v>260</v>
      </c>
      <c r="E23" s="208"/>
      <c r="F23" s="211"/>
    </row>
    <row r="24" spans="1:6" ht="14.65" customHeight="1">
      <c r="A24" s="234"/>
      <c r="B24" s="210" t="s">
        <v>184</v>
      </c>
      <c r="C24" s="210"/>
      <c r="D24" s="208" t="s">
        <v>261</v>
      </c>
      <c r="E24" s="208"/>
      <c r="F24" s="211"/>
    </row>
    <row r="25" spans="1:6" ht="24">
      <c r="A25" s="232" t="s">
        <v>185</v>
      </c>
      <c r="B25" s="207" t="s">
        <v>186</v>
      </c>
      <c r="C25" s="207"/>
      <c r="D25" s="208" t="s">
        <v>260</v>
      </c>
      <c r="E25" s="208"/>
    </row>
    <row r="26" spans="1:6">
      <c r="A26" s="233"/>
      <c r="B26" s="207" t="s">
        <v>187</v>
      </c>
      <c r="C26" s="207"/>
      <c r="D26" s="208" t="s">
        <v>260</v>
      </c>
      <c r="E26" s="208"/>
    </row>
    <row r="27" spans="1:6">
      <c r="A27" s="233"/>
      <c r="B27" s="207" t="s">
        <v>188</v>
      </c>
      <c r="C27" s="207"/>
      <c r="D27" s="208" t="s">
        <v>262</v>
      </c>
      <c r="E27" s="208"/>
    </row>
    <row r="28" spans="1:6" ht="13.5">
      <c r="A28" s="233"/>
      <c r="B28" s="207" t="s">
        <v>189</v>
      </c>
      <c r="C28" s="207"/>
      <c r="D28" s="224" t="s">
        <v>262</v>
      </c>
      <c r="E28" s="208"/>
    </row>
    <row r="29" spans="1:6" ht="48">
      <c r="A29" s="234"/>
      <c r="B29" s="207" t="s">
        <v>190</v>
      </c>
      <c r="C29" s="207" t="s">
        <v>191</v>
      </c>
      <c r="D29" s="208" t="s">
        <v>260</v>
      </c>
      <c r="E29" s="208"/>
    </row>
    <row r="30" spans="1:6" ht="24">
      <c r="A30" s="232" t="s">
        <v>192</v>
      </c>
      <c r="B30" s="207" t="s">
        <v>193</v>
      </c>
      <c r="C30" s="207" t="s">
        <v>194</v>
      </c>
      <c r="D30" s="208" t="s">
        <v>260</v>
      </c>
      <c r="E30" s="208"/>
      <c r="F30" s="212"/>
    </row>
    <row r="31" spans="1:6" ht="60">
      <c r="A31" s="233"/>
      <c r="B31" s="207" t="s">
        <v>195</v>
      </c>
      <c r="C31" s="207" t="s">
        <v>255</v>
      </c>
      <c r="D31" s="208" t="s">
        <v>260</v>
      </c>
      <c r="E31" s="208"/>
    </row>
    <row r="32" spans="1:6">
      <c r="A32" s="233"/>
      <c r="B32" s="207" t="s">
        <v>196</v>
      </c>
      <c r="C32" s="207"/>
      <c r="D32" s="208"/>
      <c r="E32" s="208"/>
    </row>
    <row r="33" spans="1:5">
      <c r="A33" s="233"/>
      <c r="B33" s="213" t="s">
        <v>197</v>
      </c>
      <c r="C33" s="207"/>
      <c r="D33" s="224"/>
      <c r="E33" s="208"/>
    </row>
    <row r="34" spans="1:5">
      <c r="A34" s="233"/>
      <c r="B34" s="213" t="s">
        <v>198</v>
      </c>
      <c r="C34" s="207"/>
      <c r="D34" s="224"/>
      <c r="E34" s="208"/>
    </row>
    <row r="35" spans="1:5">
      <c r="A35" s="234"/>
      <c r="B35" s="207" t="s">
        <v>199</v>
      </c>
      <c r="C35" s="207" t="s">
        <v>200</v>
      </c>
      <c r="D35" s="224"/>
      <c r="E35" s="208"/>
    </row>
    <row r="36" spans="1:5">
      <c r="A36" s="232" t="s">
        <v>201</v>
      </c>
      <c r="B36" s="207" t="s">
        <v>202</v>
      </c>
      <c r="C36" s="207"/>
      <c r="D36" s="208" t="s">
        <v>261</v>
      </c>
      <c r="E36" s="208"/>
    </row>
    <row r="37" spans="1:5">
      <c r="A37" s="233"/>
      <c r="B37" s="207" t="s">
        <v>203</v>
      </c>
      <c r="C37" s="207"/>
      <c r="D37" s="226" t="s">
        <v>263</v>
      </c>
      <c r="E37" s="208"/>
    </row>
    <row r="38" spans="1:5">
      <c r="A38" s="233"/>
      <c r="B38" s="207" t="s">
        <v>204</v>
      </c>
      <c r="C38" s="207"/>
      <c r="D38" s="224">
        <v>6</v>
      </c>
      <c r="E38" s="208"/>
    </row>
    <row r="39" spans="1:5">
      <c r="A39" s="233"/>
      <c r="B39" s="207" t="s">
        <v>205</v>
      </c>
      <c r="C39" s="207"/>
      <c r="D39" s="224">
        <v>4.8099999999999996</v>
      </c>
      <c r="E39" s="208"/>
    </row>
    <row r="40" spans="1:5" ht="36">
      <c r="A40" s="233"/>
      <c r="B40" s="207" t="s">
        <v>206</v>
      </c>
      <c r="C40" s="207" t="s">
        <v>207</v>
      </c>
      <c r="D40" s="208" t="s">
        <v>261</v>
      </c>
      <c r="E40" s="208"/>
    </row>
    <row r="41" spans="1:5" ht="24">
      <c r="A41" s="233"/>
      <c r="B41" s="207" t="s">
        <v>208</v>
      </c>
      <c r="C41" s="207"/>
      <c r="D41" s="224">
        <v>100</v>
      </c>
      <c r="E41" s="208"/>
    </row>
    <row r="42" spans="1:5" ht="60">
      <c r="A42" s="233"/>
      <c r="B42" s="207" t="s">
        <v>209</v>
      </c>
      <c r="C42" s="213" t="s">
        <v>210</v>
      </c>
      <c r="D42" s="208" t="s">
        <v>260</v>
      </c>
      <c r="E42" s="208"/>
    </row>
    <row r="43" spans="1:5">
      <c r="A43" s="233"/>
      <c r="B43" s="207" t="s">
        <v>211</v>
      </c>
      <c r="C43" s="207"/>
      <c r="D43" s="224" t="s">
        <v>262</v>
      </c>
      <c r="E43" s="208"/>
    </row>
    <row r="44" spans="1:5">
      <c r="A44" s="233"/>
      <c r="B44" s="207" t="s">
        <v>212</v>
      </c>
      <c r="C44" s="207"/>
      <c r="D44" s="224"/>
      <c r="E44" s="208"/>
    </row>
    <row r="45" spans="1:5" ht="48">
      <c r="A45" s="234"/>
      <c r="B45" s="207" t="s">
        <v>213</v>
      </c>
      <c r="C45" s="207" t="s">
        <v>214</v>
      </c>
      <c r="D45" s="208" t="s">
        <v>260</v>
      </c>
      <c r="E45" s="208"/>
    </row>
    <row r="46" spans="1:5">
      <c r="A46" s="236" t="s">
        <v>215</v>
      </c>
      <c r="B46" s="207" t="s">
        <v>216</v>
      </c>
      <c r="C46" s="207"/>
      <c r="D46" s="208" t="s">
        <v>261</v>
      </c>
      <c r="E46" s="208"/>
    </row>
    <row r="47" spans="1:5" ht="36">
      <c r="A47" s="236"/>
      <c r="B47" s="207" t="s">
        <v>217</v>
      </c>
      <c r="C47" s="207"/>
      <c r="D47" s="208" t="s">
        <v>261</v>
      </c>
      <c r="E47" s="208"/>
    </row>
    <row r="48" spans="1:5">
      <c r="A48" s="236"/>
      <c r="B48" s="207" t="s">
        <v>218</v>
      </c>
      <c r="C48" s="207"/>
      <c r="D48" s="224">
        <v>4422</v>
      </c>
      <c r="E48" s="208"/>
    </row>
    <row r="49" spans="1:5">
      <c r="A49" s="236"/>
      <c r="B49" s="207" t="s">
        <v>219</v>
      </c>
      <c r="C49" s="207"/>
      <c r="D49" s="224">
        <v>6.4</v>
      </c>
      <c r="E49" s="208"/>
    </row>
    <row r="50" spans="1:5" ht="13.5">
      <c r="A50" s="236"/>
      <c r="B50" s="207" t="s">
        <v>220</v>
      </c>
      <c r="C50" s="207"/>
      <c r="D50" s="224">
        <v>28.3</v>
      </c>
      <c r="E50" s="208"/>
    </row>
    <row r="51" spans="1:5">
      <c r="A51" s="236"/>
      <c r="B51" s="207" t="s">
        <v>221</v>
      </c>
      <c r="C51" s="207"/>
      <c r="D51" s="208" t="s">
        <v>260</v>
      </c>
      <c r="E51" s="208"/>
    </row>
    <row r="52" spans="1:5" ht="13.5">
      <c r="A52" s="236"/>
      <c r="B52" s="207" t="s">
        <v>222</v>
      </c>
      <c r="C52" s="207"/>
      <c r="D52" s="224" t="s">
        <v>262</v>
      </c>
      <c r="E52" s="208"/>
    </row>
    <row r="53" spans="1:5" ht="24">
      <c r="A53" s="232" t="s">
        <v>223</v>
      </c>
      <c r="B53" s="207" t="s">
        <v>224</v>
      </c>
      <c r="C53" s="207" t="s">
        <v>225</v>
      </c>
      <c r="D53" s="208" t="s">
        <v>260</v>
      </c>
      <c r="E53" s="208"/>
    </row>
    <row r="54" spans="1:5" ht="24">
      <c r="A54" s="233"/>
      <c r="B54" s="207" t="s">
        <v>226</v>
      </c>
      <c r="C54" s="207" t="s">
        <v>227</v>
      </c>
      <c r="D54" s="208" t="s">
        <v>260</v>
      </c>
      <c r="E54" s="208"/>
    </row>
    <row r="55" spans="1:5">
      <c r="A55" s="233"/>
      <c r="B55" s="207" t="s">
        <v>228</v>
      </c>
      <c r="C55" s="207"/>
      <c r="D55" s="224"/>
      <c r="E55" s="208"/>
    </row>
    <row r="56" spans="1:5">
      <c r="A56" s="233"/>
      <c r="B56" s="207" t="s">
        <v>229</v>
      </c>
      <c r="C56" s="207"/>
      <c r="D56" s="224"/>
      <c r="E56" s="208"/>
    </row>
    <row r="57" spans="1:5">
      <c r="A57" s="234"/>
      <c r="B57" s="207" t="s">
        <v>230</v>
      </c>
      <c r="C57" s="207"/>
      <c r="D57" s="224"/>
      <c r="E57" s="208"/>
    </row>
    <row r="58" spans="1:5">
      <c r="A58" s="239" t="s">
        <v>231</v>
      </c>
      <c r="B58" s="207" t="s">
        <v>232</v>
      </c>
      <c r="C58" s="207"/>
      <c r="D58" s="208" t="s">
        <v>262</v>
      </c>
      <c r="E58" s="208"/>
    </row>
    <row r="59" spans="1:5">
      <c r="A59" s="240"/>
      <c r="B59" s="207" t="s">
        <v>233</v>
      </c>
      <c r="C59" s="207"/>
      <c r="D59" s="224" t="s">
        <v>262</v>
      </c>
      <c r="E59" s="208"/>
    </row>
    <row r="60" spans="1:5" ht="72">
      <c r="A60" s="232" t="s">
        <v>234</v>
      </c>
      <c r="B60" s="207" t="s">
        <v>235</v>
      </c>
      <c r="C60" s="207" t="s">
        <v>236</v>
      </c>
      <c r="D60" s="208" t="s">
        <v>260</v>
      </c>
      <c r="E60" s="208"/>
    </row>
    <row r="61" spans="1:5" ht="20.25" customHeight="1">
      <c r="A61" s="233"/>
      <c r="B61" s="207" t="s">
        <v>237</v>
      </c>
      <c r="C61" s="207"/>
      <c r="D61" s="208" t="s">
        <v>260</v>
      </c>
      <c r="E61" s="208"/>
    </row>
    <row r="62" spans="1:5" ht="20.25" customHeight="1">
      <c r="A62" s="233"/>
      <c r="B62" s="207" t="s">
        <v>238</v>
      </c>
      <c r="C62" s="207" t="s">
        <v>239</v>
      </c>
      <c r="D62" s="224" t="s">
        <v>262</v>
      </c>
      <c r="E62" s="208"/>
    </row>
    <row r="63" spans="1:5" ht="20.25" customHeight="1">
      <c r="A63" s="234"/>
      <c r="B63" s="207" t="s">
        <v>240</v>
      </c>
      <c r="C63" s="207"/>
      <c r="D63" s="224" t="s">
        <v>262</v>
      </c>
      <c r="E63" s="208"/>
    </row>
    <row r="64" spans="1:5"/>
    <row r="65" spans="1:5" s="199" customFormat="1">
      <c r="A65" s="241" t="s">
        <v>5</v>
      </c>
      <c r="B65" s="242"/>
      <c r="C65" s="242"/>
      <c r="D65" s="242"/>
      <c r="E65" s="243"/>
    </row>
    <row r="66" spans="1:5">
      <c r="A66" s="244" t="s">
        <v>262</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c r="A86" s="251" t="s">
        <v>6</v>
      </c>
      <c r="B86" s="252"/>
      <c r="C86" s="252"/>
      <c r="D86" s="253"/>
      <c r="E86" s="214" t="s">
        <v>7</v>
      </c>
    </row>
    <row r="87" spans="1:5">
      <c r="A87" s="237" t="s">
        <v>8</v>
      </c>
      <c r="B87" s="207" t="s">
        <v>9</v>
      </c>
      <c r="C87" s="207"/>
      <c r="D87" s="215"/>
      <c r="E87" s="216" t="s">
        <v>268</v>
      </c>
    </row>
    <row r="88" spans="1:5">
      <c r="A88" s="238"/>
      <c r="B88" s="207" t="s">
        <v>10</v>
      </c>
      <c r="C88" s="207"/>
      <c r="D88" s="215"/>
      <c r="E88" s="216" t="s">
        <v>268</v>
      </c>
    </row>
    <row r="89" spans="1:5">
      <c r="A89" s="237" t="s">
        <v>11</v>
      </c>
      <c r="B89" s="207" t="s">
        <v>9</v>
      </c>
      <c r="C89" s="207"/>
      <c r="D89" s="215"/>
      <c r="E89" s="216" t="s">
        <v>268</v>
      </c>
    </row>
    <row r="90" spans="1:5">
      <c r="A90" s="238"/>
      <c r="B90" s="207" t="s">
        <v>10</v>
      </c>
      <c r="C90" s="207"/>
      <c r="D90" s="215"/>
      <c r="E90" s="216" t="s">
        <v>268</v>
      </c>
    </row>
    <row r="91" spans="1:5">
      <c r="A91" s="254" t="s">
        <v>12</v>
      </c>
      <c r="B91" s="255"/>
      <c r="C91" s="210"/>
      <c r="D91" s="215"/>
      <c r="E91" s="216" t="s">
        <v>268</v>
      </c>
    </row>
    <row r="92" spans="1:5">
      <c r="A92" s="254" t="s">
        <v>13</v>
      </c>
      <c r="B92" s="255"/>
      <c r="C92" s="210"/>
      <c r="D92" s="215"/>
      <c r="E92" s="216" t="s">
        <v>268</v>
      </c>
    </row>
    <row r="93" spans="1:5">
      <c r="A93" s="254" t="s">
        <v>14</v>
      </c>
      <c r="B93" s="255"/>
      <c r="C93" s="210"/>
      <c r="D93" s="215"/>
      <c r="E93" s="216" t="s">
        <v>268</v>
      </c>
    </row>
    <row r="94" spans="1:5">
      <c r="A94" s="254" t="s">
        <v>15</v>
      </c>
      <c r="B94" s="255"/>
      <c r="C94" s="210"/>
      <c r="D94" s="215"/>
      <c r="E94" s="216" t="s">
        <v>268</v>
      </c>
    </row>
    <row r="95" spans="1:5"/>
    <row r="96" spans="1:5"/>
    <row r="97" spans="1:5">
      <c r="A97" s="251" t="s">
        <v>241</v>
      </c>
      <c r="B97" s="252"/>
      <c r="C97" s="252"/>
      <c r="D97" s="253"/>
      <c r="E97" s="214"/>
    </row>
    <row r="98" spans="1:5">
      <c r="A98" s="244" t="s">
        <v>269</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abSelected="1" zoomScale="70" zoomScaleNormal="70" workbookViewId="0">
      <selection activeCell="I8" sqref="I8"/>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133</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149</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115</v>
      </c>
      <c r="F3" s="271"/>
      <c r="G3" s="139" t="str">
        <f>"'Be Lean'"</f>
        <v>'Be Lean'</v>
      </c>
      <c r="H3" s="140" t="str">
        <f>"'Be Clean'"</f>
        <v>'Be Clean'</v>
      </c>
      <c r="I3" s="140" t="str">
        <f>"'Be Green'"</f>
        <v>'Be Green'</v>
      </c>
      <c r="J3" s="272" t="s">
        <v>18</v>
      </c>
      <c r="K3" s="272"/>
      <c r="L3" s="266" t="s">
        <v>115</v>
      </c>
      <c r="M3" s="267"/>
      <c r="N3" s="261" t="s">
        <v>117</v>
      </c>
      <c r="O3" s="273"/>
      <c r="P3" s="274"/>
      <c r="Q3" s="277" t="str">
        <f>"'Be Clean'"</f>
        <v>'Be Clean'</v>
      </c>
      <c r="R3" s="273"/>
      <c r="S3" s="274"/>
      <c r="T3" s="261" t="s">
        <v>119</v>
      </c>
      <c r="U3" s="262"/>
    </row>
    <row r="4" spans="1:21" ht="68.099999999999994" customHeight="1">
      <c r="A4" s="124" t="s">
        <v>16</v>
      </c>
      <c r="B4" s="124" t="s">
        <v>120</v>
      </c>
      <c r="C4" s="124" t="s">
        <v>17</v>
      </c>
      <c r="D4" s="124" t="s">
        <v>122</v>
      </c>
      <c r="E4" s="125" t="s">
        <v>129</v>
      </c>
      <c r="F4" s="124" t="s">
        <v>143</v>
      </c>
      <c r="G4" s="104" t="s">
        <v>123</v>
      </c>
      <c r="H4" s="104" t="s">
        <v>123</v>
      </c>
      <c r="I4" s="104" t="s">
        <v>123</v>
      </c>
      <c r="J4" s="126" t="s">
        <v>124</v>
      </c>
      <c r="K4" s="126" t="s">
        <v>126</v>
      </c>
      <c r="L4" s="104" t="s">
        <v>130</v>
      </c>
      <c r="M4" s="124" t="s">
        <v>116</v>
      </c>
      <c r="N4" s="104" t="s">
        <v>130</v>
      </c>
      <c r="O4" s="126" t="s">
        <v>156</v>
      </c>
      <c r="P4" s="151" t="str">
        <f>"'Be Lean' savings"</f>
        <v>'Be Lean' savings</v>
      </c>
      <c r="Q4" s="104" t="s">
        <v>130</v>
      </c>
      <c r="R4" s="126" t="s">
        <v>156</v>
      </c>
      <c r="S4" s="151" t="str">
        <f>"'Be Clean' savings"</f>
        <v>'Be Clean' savings</v>
      </c>
      <c r="T4" s="104" t="s">
        <v>130</v>
      </c>
      <c r="U4" s="217" t="str">
        <f>"'Be Green' savings"</f>
        <v>'Be Green' savings</v>
      </c>
    </row>
    <row r="5" spans="1:21" s="1" customFormat="1" ht="15">
      <c r="A5" s="100"/>
      <c r="B5" s="100" t="s">
        <v>121</v>
      </c>
      <c r="C5" s="100"/>
      <c r="D5" s="100" t="s">
        <v>121</v>
      </c>
      <c r="E5" s="103" t="s">
        <v>136</v>
      </c>
      <c r="F5" s="101" t="s">
        <v>137</v>
      </c>
      <c r="G5" s="103" t="s">
        <v>136</v>
      </c>
      <c r="H5" s="103" t="s">
        <v>136</v>
      </c>
      <c r="I5" s="103" t="s">
        <v>136</v>
      </c>
      <c r="J5" s="106" t="s">
        <v>125</v>
      </c>
      <c r="K5" s="106" t="s">
        <v>125</v>
      </c>
      <c r="L5" s="105" t="s">
        <v>138</v>
      </c>
      <c r="M5" s="105" t="s">
        <v>138</v>
      </c>
      <c r="N5" s="105" t="s">
        <v>138</v>
      </c>
      <c r="O5" s="105" t="s">
        <v>138</v>
      </c>
      <c r="P5" s="105" t="s">
        <v>138</v>
      </c>
      <c r="Q5" s="105" t="s">
        <v>138</v>
      </c>
      <c r="R5" s="105" t="s">
        <v>138</v>
      </c>
      <c r="S5" s="105" t="s">
        <v>138</v>
      </c>
      <c r="T5" s="105" t="s">
        <v>138</v>
      </c>
      <c r="U5" s="173" t="s">
        <v>138</v>
      </c>
    </row>
    <row r="6" spans="1:21" s="117" customFormat="1" ht="28.15" customHeight="1">
      <c r="A6" s="113"/>
      <c r="B6" s="112" t="s">
        <v>127</v>
      </c>
      <c r="C6" s="112"/>
      <c r="D6" s="112"/>
      <c r="E6" s="114" t="s">
        <v>128</v>
      </c>
      <c r="F6" s="186" t="s">
        <v>145</v>
      </c>
      <c r="G6" s="115" t="s">
        <v>146</v>
      </c>
      <c r="H6" s="115" t="s">
        <v>146</v>
      </c>
      <c r="I6" s="115" t="s">
        <v>146</v>
      </c>
      <c r="J6" s="115"/>
      <c r="K6" s="116"/>
      <c r="L6" s="115"/>
      <c r="M6" s="115"/>
      <c r="N6" s="115"/>
      <c r="O6" s="116"/>
      <c r="P6" s="116"/>
      <c r="Q6" s="116"/>
      <c r="R6" s="116"/>
      <c r="S6" s="116"/>
      <c r="T6" s="116"/>
      <c r="U6" s="174"/>
    </row>
    <row r="7" spans="1:21" ht="13.5" customHeight="1">
      <c r="A7" s="109" t="s">
        <v>264</v>
      </c>
      <c r="B7" s="110">
        <v>86.1</v>
      </c>
      <c r="C7" s="110">
        <v>1</v>
      </c>
      <c r="D7" s="110">
        <v>86.1</v>
      </c>
      <c r="E7" s="164">
        <v>10.57</v>
      </c>
      <c r="F7" s="165">
        <v>-322.22000000000003</v>
      </c>
      <c r="G7" s="166">
        <v>11.3</v>
      </c>
      <c r="H7" s="166">
        <v>11.3</v>
      </c>
      <c r="I7" s="166">
        <v>-2.64</v>
      </c>
      <c r="J7" s="167">
        <v>37.33</v>
      </c>
      <c r="K7" s="167">
        <v>37.21</v>
      </c>
      <c r="L7" s="107">
        <f t="shared" ref="L7" si="0">IF($E7=0,"",D7*E7)</f>
        <v>910.077</v>
      </c>
      <c r="M7" s="107">
        <f t="shared" ref="M7:M57" si="1">IF($F7=0,"",($F7/$B7)*$D7)</f>
        <v>-322.22000000000003</v>
      </c>
      <c r="N7" s="107">
        <f t="shared" ref="N7:N57" si="2">IF($G7=0,"",$D7*$G7)</f>
        <v>972.93</v>
      </c>
      <c r="O7" s="108">
        <f>IF($G7=0,"",$N7+M7)</f>
        <v>650.70999999999992</v>
      </c>
      <c r="P7" s="108">
        <f>IF($G7=0,"",$L7-O7)</f>
        <v>259.36700000000008</v>
      </c>
      <c r="Q7" s="108">
        <f t="shared" ref="Q7:Q57" si="3">IF($H7=0,"",$D7*$H7)</f>
        <v>972.93</v>
      </c>
      <c r="R7" s="108">
        <f>IF($H7=0,"",$Q7+$M7)</f>
        <v>650.70999999999992</v>
      </c>
      <c r="S7" s="108">
        <f>IF($H7=0,"",$O7-$R7)</f>
        <v>0</v>
      </c>
      <c r="T7" s="108">
        <f>IF($I7=0,"",$D7*$I7)</f>
        <v>-227.304</v>
      </c>
      <c r="U7" s="175">
        <f>IF($H7=0,"",$R7-$T7)</f>
        <v>878.0139999999999</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20</v>
      </c>
      <c r="B58" s="7"/>
      <c r="C58" s="7">
        <f>SUM(C7:C57)</f>
        <v>1</v>
      </c>
      <c r="D58" s="7">
        <f>SUM(D7:D57)</f>
        <v>86.1</v>
      </c>
      <c r="E58" s="128">
        <f t="shared" ref="E58" si="11">IFERROR(SUMPRODUCT($D$7:$D$57,E7:E57)/$D$58,0)</f>
        <v>10.57</v>
      </c>
      <c r="F58" s="127">
        <f t="shared" ref="F58" si="12">IFERROR(SUMPRODUCT($D$7:$D$57,F7:F57)/$D$58,0)</f>
        <v>-322.22000000000003</v>
      </c>
      <c r="G58" s="127">
        <f t="shared" ref="G58:I58" si="13">IFERROR(SUMPRODUCT($D$7:$D$57,G7:G57)/$D$58,0)</f>
        <v>11.3</v>
      </c>
      <c r="H58" s="127">
        <f t="shared" si="13"/>
        <v>11.3</v>
      </c>
      <c r="I58" s="127">
        <f t="shared" si="13"/>
        <v>-2.64</v>
      </c>
      <c r="J58" s="127">
        <f>IFERROR(SUMPRODUCT($D$7:$D$57,J7:J57)/$D$58,0)</f>
        <v>37.33</v>
      </c>
      <c r="K58" s="127">
        <f>IFERROR(SUMPRODUCT($D$7:$D$57,K7:K57)/$D$58,0)</f>
        <v>37.21</v>
      </c>
      <c r="L58" s="102">
        <f>SUM(L7:L57)</f>
        <v>910.077</v>
      </c>
      <c r="M58" s="102">
        <f>SUM(M7:M57)</f>
        <v>-322.22000000000003</v>
      </c>
      <c r="N58" s="102">
        <f t="shared" ref="N58:T58" si="14">SUM(N7:N57)</f>
        <v>972.93</v>
      </c>
      <c r="O58" s="102">
        <f t="shared" si="14"/>
        <v>650.70999999999992</v>
      </c>
      <c r="P58" s="102">
        <f t="shared" si="14"/>
        <v>259.36700000000008</v>
      </c>
      <c r="Q58" s="102">
        <f t="shared" si="14"/>
        <v>972.93</v>
      </c>
      <c r="R58" s="102">
        <f t="shared" si="14"/>
        <v>650.70999999999992</v>
      </c>
      <c r="S58" s="102">
        <f t="shared" si="14"/>
        <v>0</v>
      </c>
      <c r="T58" s="102">
        <f t="shared" si="14"/>
        <v>-227.304</v>
      </c>
      <c r="U58" s="176">
        <f t="shared" ref="U58" si="15">SUM(U7:U57)</f>
        <v>878.0139999999999</v>
      </c>
    </row>
    <row r="59" spans="1:21" s="4" customFormat="1" ht="27" customHeight="1">
      <c r="A59" s="258" t="s">
        <v>148</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115</v>
      </c>
      <c r="F60" s="265"/>
      <c r="G60" s="188" t="str">
        <f>"'Be Lean'"</f>
        <v>'Be Lean'</v>
      </c>
      <c r="H60" s="197" t="str">
        <f>"'Be Clean'"</f>
        <v>'Be Clean'</v>
      </c>
      <c r="I60" s="197" t="str">
        <f>"'Be Green'"</f>
        <v>'Be Green'</v>
      </c>
      <c r="J60" s="143"/>
      <c r="K60" s="144"/>
      <c r="L60" s="268" t="s">
        <v>115</v>
      </c>
      <c r="M60" s="269"/>
      <c r="N60" s="263" t="s">
        <v>117</v>
      </c>
      <c r="O60" s="275"/>
      <c r="P60" s="276"/>
      <c r="Q60" s="263" t="s">
        <v>118</v>
      </c>
      <c r="R60" s="275"/>
      <c r="S60" s="276"/>
      <c r="T60" s="263" t="s">
        <v>119</v>
      </c>
      <c r="U60" s="264"/>
    </row>
    <row r="61" spans="1:21" s="145" customFormat="1" ht="52.5">
      <c r="A61" s="141" t="s">
        <v>22</v>
      </c>
      <c r="B61" s="142" t="s">
        <v>140</v>
      </c>
      <c r="C61" s="142" t="s">
        <v>17</v>
      </c>
      <c r="D61" s="142" t="s">
        <v>139</v>
      </c>
      <c r="E61" s="126" t="s">
        <v>131</v>
      </c>
      <c r="F61" s="126" t="s">
        <v>144</v>
      </c>
      <c r="G61" s="126" t="s">
        <v>132</v>
      </c>
      <c r="H61" s="126" t="s">
        <v>132</v>
      </c>
      <c r="I61" s="126" t="s">
        <v>132</v>
      </c>
      <c r="J61" s="143"/>
      <c r="K61" s="144"/>
      <c r="L61" s="126" t="s">
        <v>130</v>
      </c>
      <c r="M61" s="126" t="s">
        <v>116</v>
      </c>
      <c r="N61" s="126" t="s">
        <v>130</v>
      </c>
      <c r="O61" s="126" t="s">
        <v>156</v>
      </c>
      <c r="P61" s="151" t="str">
        <f>"'Be Lean' savings"</f>
        <v>'Be Lean' savings</v>
      </c>
      <c r="Q61" s="104" t="s">
        <v>130</v>
      </c>
      <c r="R61" s="126" t="s">
        <v>156</v>
      </c>
      <c r="S61" s="151" t="str">
        <f>"'Be Clean' savings"</f>
        <v>'Be Clean' savings</v>
      </c>
      <c r="T61" s="104" t="s">
        <v>130</v>
      </c>
      <c r="U61" s="217" t="str">
        <f>"'Be Green' savings"</f>
        <v>'Be Green' savings</v>
      </c>
    </row>
    <row r="62" spans="1:21" ht="15">
      <c r="A62" s="52"/>
      <c r="B62" s="50" t="s">
        <v>121</v>
      </c>
      <c r="C62" s="50"/>
      <c r="D62" s="50" t="s">
        <v>121</v>
      </c>
      <c r="E62" s="137" t="s">
        <v>136</v>
      </c>
      <c r="F62" s="137" t="s">
        <v>147</v>
      </c>
      <c r="G62" s="137" t="s">
        <v>136</v>
      </c>
      <c r="H62" s="137" t="s">
        <v>136</v>
      </c>
      <c r="I62" s="137" t="s">
        <v>136</v>
      </c>
      <c r="J62" s="122"/>
      <c r="K62" s="123"/>
      <c r="L62" s="118" t="s">
        <v>138</v>
      </c>
      <c r="M62" s="118" t="s">
        <v>138</v>
      </c>
      <c r="N62" s="118" t="s">
        <v>138</v>
      </c>
      <c r="O62" s="118" t="s">
        <v>138</v>
      </c>
      <c r="P62" s="118" t="s">
        <v>138</v>
      </c>
      <c r="Q62" s="118" t="s">
        <v>138</v>
      </c>
      <c r="R62" s="118" t="s">
        <v>138</v>
      </c>
      <c r="S62" s="118" t="s">
        <v>138</v>
      </c>
      <c r="T62" s="118" t="s">
        <v>138</v>
      </c>
      <c r="U62" s="177" t="s">
        <v>138</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20</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23</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142</v>
      </c>
      <c r="B96" s="51"/>
      <c r="C96" s="51"/>
      <c r="D96" s="69">
        <f>D94+D58</f>
        <v>86.1</v>
      </c>
      <c r="E96" s="155" t="s">
        <v>21</v>
      </c>
      <c r="F96" s="155" t="s">
        <v>21</v>
      </c>
      <c r="G96" s="155" t="s">
        <v>21</v>
      </c>
      <c r="H96" s="155" t="s">
        <v>21</v>
      </c>
      <c r="I96" s="155" t="s">
        <v>21</v>
      </c>
      <c r="J96" s="122"/>
      <c r="K96" s="123"/>
      <c r="L96" s="156">
        <f>L58+L94</f>
        <v>910.077</v>
      </c>
      <c r="M96" s="156">
        <f t="shared" ref="M96:T96" si="29">M58+M94</f>
        <v>-322.22000000000003</v>
      </c>
      <c r="N96" s="156">
        <f t="shared" si="29"/>
        <v>972.93</v>
      </c>
      <c r="O96" s="156">
        <f t="shared" si="29"/>
        <v>650.70999999999992</v>
      </c>
      <c r="P96" s="156">
        <f t="shared" si="29"/>
        <v>259.36700000000008</v>
      </c>
      <c r="Q96" s="156">
        <f t="shared" si="29"/>
        <v>972.93</v>
      </c>
      <c r="R96" s="156">
        <f t="shared" si="29"/>
        <v>650.70999999999992</v>
      </c>
      <c r="S96" s="156">
        <f t="shared" ref="S96" si="30">S58+S94</f>
        <v>0</v>
      </c>
      <c r="T96" s="156">
        <f t="shared" si="29"/>
        <v>-227.304</v>
      </c>
      <c r="U96" s="181">
        <f>U58+U94</f>
        <v>878.0139999999999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5" zoomScale="70" zoomScaleNormal="70" workbookViewId="0">
      <selection activeCell="D7" sqref="D7"/>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90" t="s">
        <v>24</v>
      </c>
      <c r="B1" s="290"/>
      <c r="C1" s="290"/>
      <c r="D1" s="290"/>
      <c r="E1" s="290"/>
      <c r="F1" s="290"/>
      <c r="G1" s="290"/>
      <c r="H1" s="290"/>
      <c r="I1" s="290"/>
      <c r="J1" s="290"/>
      <c r="K1" s="290"/>
      <c r="L1" s="290"/>
      <c r="M1" s="290"/>
      <c r="N1" s="290"/>
      <c r="O1" s="290"/>
      <c r="P1" s="290"/>
      <c r="Q1" s="290"/>
      <c r="R1" s="290"/>
      <c r="S1" s="290"/>
      <c r="T1" s="291"/>
    </row>
    <row r="2" spans="1:20" ht="18">
      <c r="A2" s="292" t="s">
        <v>25</v>
      </c>
      <c r="B2" s="293"/>
      <c r="C2" s="293"/>
      <c r="D2" s="293"/>
      <c r="E2" s="293"/>
      <c r="F2" s="293"/>
      <c r="G2" s="293"/>
      <c r="H2" s="293"/>
      <c r="I2" s="293"/>
      <c r="J2" s="293"/>
      <c r="K2" s="293"/>
      <c r="L2" s="293"/>
      <c r="M2" s="293"/>
      <c r="N2" s="293"/>
      <c r="O2" s="293"/>
      <c r="P2" s="293"/>
      <c r="Q2" s="293"/>
      <c r="R2" s="293"/>
      <c r="S2" s="293"/>
      <c r="T2" s="294"/>
    </row>
    <row r="3" spans="1:20" ht="36.75" customHeight="1">
      <c r="A3" s="286" t="s">
        <v>26</v>
      </c>
      <c r="B3" s="286" t="s">
        <v>154</v>
      </c>
      <c r="C3" s="288" t="s">
        <v>27</v>
      </c>
      <c r="D3" s="286"/>
      <c r="E3" s="286"/>
      <c r="F3" s="286"/>
      <c r="G3" s="286"/>
      <c r="H3" s="286"/>
      <c r="I3" s="286"/>
      <c r="J3" s="286"/>
      <c r="K3" s="286"/>
      <c r="L3" s="286" t="s">
        <v>28</v>
      </c>
      <c r="M3" s="286"/>
      <c r="N3" s="280" t="s">
        <v>29</v>
      </c>
      <c r="O3" s="281"/>
      <c r="P3" s="280" t="s">
        <v>30</v>
      </c>
      <c r="Q3" s="281"/>
      <c r="R3" s="286" t="s">
        <v>31</v>
      </c>
      <c r="S3" s="286"/>
      <c r="T3" s="287"/>
    </row>
    <row r="4" spans="1:20" s="62" customFormat="1" ht="46.15" customHeight="1">
      <c r="A4" s="286"/>
      <c r="B4" s="286"/>
      <c r="C4" s="289" t="s">
        <v>32</v>
      </c>
      <c r="D4" s="70" t="s">
        <v>33</v>
      </c>
      <c r="E4" s="70" t="s">
        <v>34</v>
      </c>
      <c r="F4" s="70" t="s">
        <v>35</v>
      </c>
      <c r="G4" s="70" t="s">
        <v>36</v>
      </c>
      <c r="H4" s="70" t="s">
        <v>37</v>
      </c>
      <c r="I4" s="70" t="s">
        <v>38</v>
      </c>
      <c r="J4" s="70" t="s">
        <v>39</v>
      </c>
      <c r="K4" s="70" t="s">
        <v>40</v>
      </c>
      <c r="L4" s="286" t="s">
        <v>41</v>
      </c>
      <c r="M4" s="280" t="s">
        <v>42</v>
      </c>
      <c r="N4" s="282" t="s">
        <v>150</v>
      </c>
      <c r="O4" s="282" t="s">
        <v>151</v>
      </c>
      <c r="P4" s="282" t="s">
        <v>152</v>
      </c>
      <c r="Q4" s="282" t="s">
        <v>153</v>
      </c>
      <c r="R4" s="286" t="s">
        <v>46</v>
      </c>
      <c r="S4" s="286" t="s">
        <v>47</v>
      </c>
      <c r="T4" s="287" t="s">
        <v>48</v>
      </c>
    </row>
    <row r="5" spans="1:20" ht="65.650000000000006" customHeight="1">
      <c r="A5" s="286"/>
      <c r="B5" s="286"/>
      <c r="C5" s="289"/>
      <c r="D5" s="70"/>
      <c r="E5" s="70"/>
      <c r="F5" s="70" t="s">
        <v>19</v>
      </c>
      <c r="G5" s="70" t="s">
        <v>19</v>
      </c>
      <c r="H5" s="70" t="s">
        <v>19</v>
      </c>
      <c r="I5" s="70" t="s">
        <v>19</v>
      </c>
      <c r="J5" s="70" t="s">
        <v>19</v>
      </c>
      <c r="K5" s="70" t="s">
        <v>19</v>
      </c>
      <c r="L5" s="286"/>
      <c r="M5" s="280"/>
      <c r="N5" s="283"/>
      <c r="O5" s="283"/>
      <c r="P5" s="283"/>
      <c r="Q5" s="283"/>
      <c r="R5" s="286"/>
      <c r="S5" s="286"/>
      <c r="T5" s="287"/>
    </row>
    <row r="6" spans="1:20" ht="32.25" customHeight="1">
      <c r="A6" s="95" t="s">
        <v>155</v>
      </c>
      <c r="B6" s="75">
        <v>86.1</v>
      </c>
      <c r="C6" s="75">
        <v>497.15949999999998</v>
      </c>
      <c r="D6" s="75">
        <f>C6+895.5259+612.9269+194.8529+213.1758</f>
        <v>2413.6409999999996</v>
      </c>
      <c r="E6" s="75"/>
      <c r="F6" s="75"/>
      <c r="G6" s="75"/>
      <c r="H6" s="75"/>
      <c r="I6" s="75"/>
      <c r="J6" s="75">
        <f>-1534.9478-2886.785</f>
        <v>-4421.7327999999998</v>
      </c>
      <c r="K6" s="75"/>
      <c r="L6" s="76" t="s">
        <v>265</v>
      </c>
      <c r="M6" s="76" t="s">
        <v>265</v>
      </c>
      <c r="N6" s="278">
        <f>IF('EUI &amp; space heating demand'!B6="","",SUM('EUI &amp; space heating demand'!$D$6:$I$7)/SUM('EUI &amp; space heating demand'!$B$6:$B$7))</f>
        <v>28.032996515679439</v>
      </c>
      <c r="O6" s="278">
        <f>IF('EUI &amp; space heating demand'!B6="","",'EUI &amp; space heating demand'!C6/'EUI &amp; space heating demand'!B6)</f>
        <v>5.7742102206736359</v>
      </c>
      <c r="P6" s="278">
        <f>IF('EUI &amp; space heating demand'!B6="","",Tables!B29)</f>
        <v>35</v>
      </c>
      <c r="Q6" s="278">
        <f>IF('EUI &amp; space heating demand'!B6="","",Tables!C29)</f>
        <v>15</v>
      </c>
      <c r="R6" s="77" t="s">
        <v>266</v>
      </c>
      <c r="S6" s="77" t="s">
        <v>267</v>
      </c>
      <c r="T6" s="79"/>
    </row>
    <row r="7" spans="1:20" ht="33.75" customHeight="1">
      <c r="A7" s="95" t="s">
        <v>49</v>
      </c>
      <c r="B7" s="75"/>
      <c r="C7" s="75"/>
      <c r="D7" s="75"/>
      <c r="E7" s="75"/>
      <c r="F7" s="75"/>
      <c r="G7" s="75"/>
      <c r="H7" s="75"/>
      <c r="I7" s="75"/>
      <c r="J7" s="75"/>
      <c r="K7" s="75"/>
      <c r="L7" s="76"/>
      <c r="M7" s="76"/>
      <c r="N7" s="279"/>
      <c r="O7" s="279"/>
      <c r="P7" s="279"/>
      <c r="Q7" s="279"/>
      <c r="R7" s="77"/>
      <c r="S7" s="77"/>
      <c r="T7" s="79"/>
    </row>
    <row r="8" spans="1:20" ht="19.5" customHeight="1">
      <c r="A8" s="63" t="s">
        <v>50</v>
      </c>
      <c r="B8" s="63">
        <f>SUM(B6:B7)</f>
        <v>86.1</v>
      </c>
      <c r="C8" s="63">
        <f>SUM(C6:C7)</f>
        <v>497.15949999999998</v>
      </c>
      <c r="D8" s="63">
        <f t="shared" ref="D8:K8" si="0">SUM(D6:D7)</f>
        <v>2413.6409999999996</v>
      </c>
      <c r="E8" s="63">
        <f t="shared" si="0"/>
        <v>0</v>
      </c>
      <c r="F8" s="63">
        <f t="shared" si="0"/>
        <v>0</v>
      </c>
      <c r="G8" s="63">
        <f t="shared" si="0"/>
        <v>0</v>
      </c>
      <c r="H8" s="63">
        <f t="shared" si="0"/>
        <v>0</v>
      </c>
      <c r="I8" s="63">
        <f t="shared" si="0"/>
        <v>0</v>
      </c>
      <c r="J8" s="63">
        <f t="shared" si="0"/>
        <v>-4421.7327999999998</v>
      </c>
      <c r="K8" s="63">
        <f t="shared" si="0"/>
        <v>0</v>
      </c>
      <c r="L8" s="64"/>
      <c r="M8" s="64"/>
      <c r="N8" s="64"/>
      <c r="O8" s="64"/>
      <c r="P8" s="64"/>
      <c r="Q8" s="64"/>
      <c r="R8" s="65"/>
      <c r="S8" s="65"/>
      <c r="T8" s="80"/>
    </row>
    <row r="9" spans="1:20" ht="18">
      <c r="A9" s="292" t="s">
        <v>51</v>
      </c>
      <c r="B9" s="293"/>
      <c r="C9" s="293"/>
      <c r="D9" s="293"/>
      <c r="E9" s="293"/>
      <c r="F9" s="293"/>
      <c r="G9" s="293"/>
      <c r="H9" s="293"/>
      <c r="I9" s="293"/>
      <c r="J9" s="293"/>
      <c r="K9" s="293"/>
      <c r="L9" s="293"/>
      <c r="M9" s="293"/>
      <c r="N9" s="293"/>
      <c r="O9" s="293"/>
      <c r="P9" s="293"/>
      <c r="Q9" s="293"/>
      <c r="R9" s="293"/>
      <c r="S9" s="293"/>
      <c r="T9" s="294"/>
    </row>
    <row r="10" spans="1:20" ht="36.75" customHeight="1">
      <c r="A10" s="286" t="s">
        <v>26</v>
      </c>
      <c r="B10" s="286" t="s">
        <v>154</v>
      </c>
      <c r="C10" s="288" t="s">
        <v>27</v>
      </c>
      <c r="D10" s="286"/>
      <c r="E10" s="286"/>
      <c r="F10" s="286"/>
      <c r="G10" s="286"/>
      <c r="H10" s="286"/>
      <c r="I10" s="286"/>
      <c r="J10" s="286"/>
      <c r="K10" s="286"/>
      <c r="L10" s="286" t="s">
        <v>28</v>
      </c>
      <c r="M10" s="286"/>
      <c r="N10" s="280" t="s">
        <v>29</v>
      </c>
      <c r="O10" s="281"/>
      <c r="P10" s="280" t="s">
        <v>30</v>
      </c>
      <c r="Q10" s="281"/>
      <c r="R10" s="280" t="s">
        <v>31</v>
      </c>
      <c r="S10" s="284"/>
      <c r="T10" s="285"/>
    </row>
    <row r="11" spans="1:20" ht="46.5" customHeight="1">
      <c r="A11" s="286"/>
      <c r="B11" s="286"/>
      <c r="C11" s="289" t="s">
        <v>32</v>
      </c>
      <c r="D11" s="70" t="s">
        <v>33</v>
      </c>
      <c r="E11" s="70" t="s">
        <v>34</v>
      </c>
      <c r="F11" s="70" t="s">
        <v>35</v>
      </c>
      <c r="G11" s="70" t="s">
        <v>36</v>
      </c>
      <c r="H11" s="70" t="s">
        <v>37</v>
      </c>
      <c r="I11" s="70" t="s">
        <v>38</v>
      </c>
      <c r="J11" s="70" t="s">
        <v>39</v>
      </c>
      <c r="K11" s="70" t="s">
        <v>40</v>
      </c>
      <c r="L11" s="286" t="s">
        <v>41</v>
      </c>
      <c r="M11" s="286" t="s">
        <v>42</v>
      </c>
      <c r="N11" s="282" t="s">
        <v>150</v>
      </c>
      <c r="O11" s="282" t="s">
        <v>151</v>
      </c>
      <c r="P11" s="282" t="s">
        <v>152</v>
      </c>
      <c r="Q11" s="282" t="s">
        <v>153</v>
      </c>
      <c r="R11" s="286" t="s">
        <v>46</v>
      </c>
      <c r="S11" s="286" t="s">
        <v>47</v>
      </c>
      <c r="T11" s="287" t="s">
        <v>52</v>
      </c>
    </row>
    <row r="12" spans="1:20" ht="48" customHeight="1">
      <c r="A12" s="286"/>
      <c r="B12" s="286"/>
      <c r="C12" s="289"/>
      <c r="D12" s="70"/>
      <c r="E12" s="70"/>
      <c r="F12" s="70" t="s">
        <v>19</v>
      </c>
      <c r="G12" s="70" t="s">
        <v>19</v>
      </c>
      <c r="H12" s="70" t="s">
        <v>19</v>
      </c>
      <c r="I12" s="70" t="s">
        <v>19</v>
      </c>
      <c r="J12" s="70" t="s">
        <v>19</v>
      </c>
      <c r="K12" s="70" t="s">
        <v>19</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50</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zoomScale="68" zoomScaleNormal="68" workbookViewId="0">
      <selection activeCell="E8" sqref="E8"/>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9" t="s">
        <v>61</v>
      </c>
      <c r="C1" s="309"/>
      <c r="D1" s="309"/>
      <c r="E1" s="309"/>
      <c r="F1" s="309"/>
      <c r="G1" s="309"/>
      <c r="H1" s="309"/>
      <c r="I1" s="309"/>
      <c r="J1" s="309"/>
      <c r="K1" s="309"/>
      <c r="L1" s="309"/>
      <c r="M1" s="310"/>
    </row>
    <row r="2" spans="1:13" s="18" customFormat="1" ht="24">
      <c r="A2" s="57"/>
      <c r="B2" s="297" t="s">
        <v>60</v>
      </c>
      <c r="C2" s="297"/>
      <c r="D2" s="297"/>
      <c r="E2" s="297"/>
      <c r="F2" s="297"/>
      <c r="G2" s="84"/>
      <c r="H2" s="297" t="s">
        <v>62</v>
      </c>
      <c r="I2" s="297"/>
      <c r="J2" s="297"/>
      <c r="K2" s="297"/>
      <c r="L2" s="297"/>
      <c r="M2" s="85"/>
    </row>
    <row r="3" spans="1:13" s="19" customFormat="1">
      <c r="B3" s="2"/>
      <c r="C3" s="16"/>
      <c r="D3" s="16"/>
      <c r="E3" s="2"/>
      <c r="F3" s="17"/>
      <c r="G3" s="2"/>
      <c r="H3" s="2"/>
      <c r="I3" s="16"/>
      <c r="J3" s="16"/>
      <c r="K3" s="2"/>
      <c r="L3" s="2"/>
      <c r="M3" s="86"/>
    </row>
    <row r="4" spans="1:13" s="21" customFormat="1" ht="13.9" customHeight="1">
      <c r="B4" s="53" t="s">
        <v>63</v>
      </c>
      <c r="C4" s="87"/>
      <c r="D4" s="87"/>
      <c r="E4" s="53"/>
      <c r="F4" s="20"/>
      <c r="G4" s="53"/>
      <c r="H4" s="53" t="s">
        <v>64</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98"/>
      <c r="C6" s="300" t="s">
        <v>65</v>
      </c>
      <c r="D6" s="300"/>
      <c r="E6" s="2"/>
      <c r="F6" s="17"/>
      <c r="G6" s="2"/>
      <c r="H6" s="302"/>
      <c r="I6" s="304" t="s">
        <v>66</v>
      </c>
      <c r="J6" s="305"/>
      <c r="K6" s="28"/>
      <c r="L6" s="28"/>
      <c r="M6" s="89"/>
    </row>
    <row r="7" spans="1:13" s="19" customFormat="1" ht="15" customHeight="1">
      <c r="B7" s="299"/>
      <c r="C7" s="23" t="s">
        <v>41</v>
      </c>
      <c r="D7" s="23" t="s">
        <v>67</v>
      </c>
      <c r="E7" s="2"/>
      <c r="F7" s="17"/>
      <c r="G7" s="2"/>
      <c r="H7" s="303"/>
      <c r="I7" s="23" t="s">
        <v>41</v>
      </c>
      <c r="J7" s="23" t="s">
        <v>67</v>
      </c>
      <c r="K7" s="28"/>
      <c r="L7" s="28"/>
      <c r="M7" s="86"/>
    </row>
    <row r="8" spans="1:13" s="27" customFormat="1" ht="45" customHeight="1">
      <c r="B8" s="24" t="s">
        <v>68</v>
      </c>
      <c r="C8" s="25">
        <f>'Part L Outputs'!L58/1000</f>
        <v>0.91007700000000002</v>
      </c>
      <c r="D8" s="66">
        <f>(3132.9*0.233)/1000</f>
        <v>0.72996570000000005</v>
      </c>
      <c r="E8" s="54"/>
      <c r="F8" s="26"/>
      <c r="G8" s="54"/>
      <c r="H8" s="24" t="s">
        <v>68</v>
      </c>
      <c r="I8" s="25">
        <f>'Part L Outputs'!L94/1000</f>
        <v>0</v>
      </c>
      <c r="J8" s="66"/>
      <c r="K8" s="81"/>
      <c r="L8" s="81"/>
      <c r="M8" s="90"/>
    </row>
    <row r="9" spans="1:13" s="27" customFormat="1" ht="45" customHeight="1">
      <c r="B9" s="24" t="s">
        <v>69</v>
      </c>
      <c r="C9" s="25">
        <f>'Part L Outputs'!O58/1000</f>
        <v>0.6507099999999999</v>
      </c>
      <c r="D9" s="66">
        <f>(3132.9*0.233)/1000</f>
        <v>0.72996570000000005</v>
      </c>
      <c r="E9" s="54"/>
      <c r="F9" s="26"/>
      <c r="G9" s="54"/>
      <c r="H9" s="24" t="s">
        <v>69</v>
      </c>
      <c r="I9" s="25">
        <f>'Part L Outputs'!O94/1000</f>
        <v>0</v>
      </c>
      <c r="J9" s="66"/>
      <c r="K9" s="81"/>
      <c r="L9" s="81"/>
      <c r="M9" s="90"/>
    </row>
    <row r="10" spans="1:13" s="27" customFormat="1" ht="45" customHeight="1">
      <c r="B10" s="24" t="s">
        <v>70</v>
      </c>
      <c r="C10" s="25">
        <f>'Part L Outputs'!R58/1000</f>
        <v>0.6507099999999999</v>
      </c>
      <c r="D10" s="66">
        <f>(3132.9*0.233)/1000</f>
        <v>0.72996570000000005</v>
      </c>
      <c r="E10" s="54"/>
      <c r="F10" s="26"/>
      <c r="G10" s="54"/>
      <c r="H10" s="24" t="s">
        <v>70</v>
      </c>
      <c r="I10" s="25">
        <f>'Part L Outputs'!R94/1000</f>
        <v>0</v>
      </c>
      <c r="J10" s="66"/>
      <c r="K10" s="81"/>
      <c r="L10" s="81"/>
      <c r="M10" s="90"/>
    </row>
    <row r="11" spans="1:13" s="27" customFormat="1" ht="45" customHeight="1">
      <c r="B11" s="24" t="s">
        <v>71</v>
      </c>
      <c r="C11" s="25">
        <f>'Part L Outputs'!T58/1000</f>
        <v>-0.22730400000000001</v>
      </c>
      <c r="D11" s="66">
        <f>(3132.9*0.233)/1000</f>
        <v>0.72996570000000005</v>
      </c>
      <c r="E11" s="185"/>
      <c r="F11" s="26"/>
      <c r="G11" s="54"/>
      <c r="H11" s="24" t="s">
        <v>71</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72</v>
      </c>
      <c r="C14" s="87"/>
      <c r="D14" s="87"/>
      <c r="E14" s="53"/>
      <c r="F14" s="20"/>
      <c r="G14" s="53"/>
      <c r="H14" s="53" t="s">
        <v>73</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74</v>
      </c>
      <c r="D16" s="305"/>
      <c r="E16" s="28"/>
      <c r="F16" s="29"/>
      <c r="G16" s="28"/>
      <c r="H16" s="302"/>
      <c r="I16" s="304" t="s">
        <v>75</v>
      </c>
      <c r="J16" s="305"/>
      <c r="K16" s="28"/>
      <c r="L16" s="28"/>
      <c r="M16" s="91"/>
    </row>
    <row r="17" spans="2:13" s="30" customFormat="1" ht="20.25" customHeight="1">
      <c r="B17" s="303"/>
      <c r="C17" s="23" t="s">
        <v>76</v>
      </c>
      <c r="D17" s="23" t="s">
        <v>77</v>
      </c>
      <c r="E17" s="28"/>
      <c r="F17" s="29"/>
      <c r="G17" s="28"/>
      <c r="H17" s="303"/>
      <c r="I17" s="23" t="s">
        <v>76</v>
      </c>
      <c r="J17" s="23" t="s">
        <v>77</v>
      </c>
      <c r="K17" s="28"/>
      <c r="L17" s="28"/>
      <c r="M17" s="91"/>
    </row>
    <row r="18" spans="2:13" s="30" customFormat="1" ht="45" customHeight="1">
      <c r="B18" s="24" t="s">
        <v>78</v>
      </c>
      <c r="C18" s="25">
        <f>C8-C9</f>
        <v>0.25936700000000013</v>
      </c>
      <c r="D18" s="31">
        <f>IFERROR(C18/C8,0)</f>
        <v>0.28499456639383275</v>
      </c>
      <c r="E18" s="28"/>
      <c r="F18" s="29"/>
      <c r="G18" s="28"/>
      <c r="H18" s="24" t="s">
        <v>78</v>
      </c>
      <c r="I18" s="25">
        <f>I8-I9</f>
        <v>0</v>
      </c>
      <c r="J18" s="31">
        <f>IFERROR(I18/I8,0)</f>
        <v>0</v>
      </c>
      <c r="K18" s="28"/>
      <c r="L18" s="28"/>
      <c r="M18" s="91"/>
    </row>
    <row r="19" spans="2:13" s="30" customFormat="1" ht="45" customHeight="1">
      <c r="B19" s="24" t="s">
        <v>79</v>
      </c>
      <c r="C19" s="25">
        <f>C9-C10</f>
        <v>0</v>
      </c>
      <c r="D19" s="31">
        <f>IFERROR(C19/C8,0)</f>
        <v>0</v>
      </c>
      <c r="E19" s="28"/>
      <c r="F19" s="29"/>
      <c r="G19" s="28"/>
      <c r="H19" s="24" t="s">
        <v>79</v>
      </c>
      <c r="I19" s="25">
        <f>I9-I10</f>
        <v>0</v>
      </c>
      <c r="J19" s="31">
        <f>IFERROR(I19/I8,0)</f>
        <v>0</v>
      </c>
      <c r="K19" s="28"/>
      <c r="L19" s="28"/>
      <c r="M19" s="91"/>
    </row>
    <row r="20" spans="2:13" s="30" customFormat="1" ht="45" customHeight="1">
      <c r="B20" s="24" t="s">
        <v>80</v>
      </c>
      <c r="C20" s="25">
        <f>C10-C11</f>
        <v>0.87801399999999985</v>
      </c>
      <c r="D20" s="31">
        <f>IFERROR(C20/C8,0)</f>
        <v>0.96476891515772822</v>
      </c>
      <c r="E20" s="28"/>
      <c r="F20" s="29"/>
      <c r="G20" s="28"/>
      <c r="H20" s="24" t="s">
        <v>80</v>
      </c>
      <c r="I20" s="25">
        <f>I10-I11</f>
        <v>0</v>
      </c>
      <c r="J20" s="31">
        <f>IFERROR(I20/I8,0)</f>
        <v>0</v>
      </c>
      <c r="K20" s="28"/>
      <c r="L20" s="28"/>
      <c r="M20" s="91"/>
    </row>
    <row r="21" spans="2:13" s="30" customFormat="1" ht="45" customHeight="1">
      <c r="B21" s="32" t="s">
        <v>81</v>
      </c>
      <c r="C21" s="33">
        <f>C8-C11</f>
        <v>1.137381</v>
      </c>
      <c r="D21" s="34">
        <f>IFERROR(C21/C8,0)</f>
        <v>1.249763481551561</v>
      </c>
      <c r="E21" s="28"/>
      <c r="F21" s="29"/>
      <c r="G21" s="28"/>
      <c r="H21" s="32" t="s">
        <v>82</v>
      </c>
      <c r="I21" s="33">
        <f>I8-I11</f>
        <v>0</v>
      </c>
      <c r="J21" s="34">
        <f>IFERROR(I21/I8,0)</f>
        <v>0</v>
      </c>
      <c r="K21" s="92"/>
      <c r="L21" s="28"/>
      <c r="M21" s="91"/>
    </row>
    <row r="22" spans="2:13" s="30" customFormat="1" ht="45" customHeight="1">
      <c r="B22" s="24" t="s">
        <v>83</v>
      </c>
      <c r="C22" s="25">
        <f>(C8-C21)</f>
        <v>-0.22730399999999995</v>
      </c>
      <c r="D22" s="35" t="s">
        <v>21</v>
      </c>
      <c r="E22" s="28"/>
      <c r="F22" s="29"/>
      <c r="G22" s="28"/>
      <c r="H22" s="24" t="s">
        <v>83</v>
      </c>
      <c r="I22" s="25">
        <f>(I8-I21)</f>
        <v>0</v>
      </c>
      <c r="J22" s="35" t="s">
        <v>21</v>
      </c>
      <c r="K22" s="92"/>
      <c r="L22" s="28"/>
      <c r="M22" s="91"/>
    </row>
    <row r="23" spans="2:13" s="30" customFormat="1" ht="16.5" customHeight="1">
      <c r="B23" s="72"/>
      <c r="C23" s="304" t="s">
        <v>84</v>
      </c>
      <c r="D23" s="305"/>
      <c r="E23" s="28"/>
      <c r="F23" s="29"/>
      <c r="G23" s="28"/>
      <c r="H23" s="72"/>
      <c r="I23" s="304" t="s">
        <v>84</v>
      </c>
      <c r="J23" s="305"/>
      <c r="K23" s="28"/>
      <c r="L23" s="28"/>
      <c r="M23" s="91"/>
    </row>
    <row r="24" spans="2:13" s="30" customFormat="1" ht="45" customHeight="1">
      <c r="B24" s="32" t="s">
        <v>85</v>
      </c>
      <c r="C24" s="36">
        <f>C22*30</f>
        <v>-6.8191199999999981</v>
      </c>
      <c r="D24" s="35" t="s">
        <v>21</v>
      </c>
      <c r="E24" s="28"/>
      <c r="F24" s="29"/>
      <c r="G24" s="28"/>
      <c r="H24" s="32" t="s">
        <v>85</v>
      </c>
      <c r="I24" s="36">
        <f>I22*30</f>
        <v>0</v>
      </c>
      <c r="J24" s="35" t="s">
        <v>21</v>
      </c>
      <c r="K24" s="28"/>
      <c r="L24" s="28"/>
      <c r="M24" s="91"/>
    </row>
    <row r="25" spans="2:13" s="30" customFormat="1" ht="45" customHeight="1">
      <c r="B25" s="32" t="s">
        <v>86</v>
      </c>
      <c r="C25" s="36">
        <f>IFERROR(IF('Development Information'!$D$10=0,C22*95*30,C22*'Development Information'!$D$10*30),"")</f>
        <v>-647.81639999999982</v>
      </c>
      <c r="D25" s="35"/>
      <c r="E25" s="28"/>
      <c r="F25" s="29"/>
      <c r="G25" s="28"/>
      <c r="H25" s="32" t="s">
        <v>86</v>
      </c>
      <c r="I25" s="36">
        <f>IFERROR(IF('Development Information'!$D$10=0,I22*95*30,I22*'Development Information'!$D$10*30),"")</f>
        <v>0</v>
      </c>
      <c r="J25" s="35"/>
      <c r="K25" s="28"/>
      <c r="L25" s="28"/>
      <c r="M25" s="91"/>
    </row>
    <row r="26" spans="2:13" s="30" customFormat="1" ht="15" customHeight="1">
      <c r="B26" s="311" t="s">
        <v>87</v>
      </c>
      <c r="C26" s="311"/>
      <c r="D26" s="311"/>
      <c r="E26" s="55"/>
      <c r="F26" s="37"/>
      <c r="G26" s="55"/>
      <c r="H26" s="316" t="s">
        <v>87</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1" t="s">
        <v>88</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89</v>
      </c>
      <c r="D60" s="71" t="s">
        <v>90</v>
      </c>
      <c r="E60" s="71" t="s">
        <v>91</v>
      </c>
      <c r="F60" s="28"/>
      <c r="G60" s="28"/>
      <c r="H60" s="74"/>
      <c r="I60" s="71" t="s">
        <v>92</v>
      </c>
      <c r="J60" s="71" t="s">
        <v>93</v>
      </c>
      <c r="K60" s="71" t="s">
        <v>94</v>
      </c>
      <c r="L60" s="55"/>
      <c r="M60" s="91"/>
    </row>
    <row r="61" spans="1:13" s="30" customFormat="1" ht="40.15" customHeight="1">
      <c r="B61" s="39" t="s">
        <v>95</v>
      </c>
      <c r="C61" s="40">
        <f>'Part L Outputs'!L96/1000</f>
        <v>0.91007700000000002</v>
      </c>
      <c r="D61" s="41"/>
      <c r="E61" s="42"/>
      <c r="F61" s="56">
        <f>$C$61</f>
        <v>0.91007700000000002</v>
      </c>
      <c r="G61" s="56"/>
      <c r="H61" s="48" t="s">
        <v>96</v>
      </c>
      <c r="I61" s="49">
        <f>IFERROR('Part L Outputs'!J58,"")</f>
        <v>37.33</v>
      </c>
      <c r="J61" s="49">
        <f>IFERROR('Part L Outputs'!K58,"")</f>
        <v>37.21</v>
      </c>
      <c r="K61" s="44">
        <f>IFERROR(1-J61/I61,"")</f>
        <v>3.2145727297079318E-3</v>
      </c>
      <c r="L61" s="55"/>
      <c r="M61" s="91"/>
    </row>
    <row r="62" spans="1:13" s="30" customFormat="1" ht="40.15" customHeight="1">
      <c r="B62" s="43" t="s">
        <v>97</v>
      </c>
      <c r="C62" s="40">
        <f>'Part L Outputs'!O96/1000</f>
        <v>0.6507099999999999</v>
      </c>
      <c r="D62" s="40">
        <f>C61-C62</f>
        <v>0.25936700000000013</v>
      </c>
      <c r="E62" s="44">
        <f>IFERROR(D62/C61,0)</f>
        <v>0.28499456639383275</v>
      </c>
      <c r="F62" s="56">
        <f>$C$61</f>
        <v>0.91007700000000002</v>
      </c>
      <c r="G62" s="56"/>
      <c r="H62" s="28"/>
      <c r="I62" s="73"/>
      <c r="J62" s="73"/>
      <c r="K62" s="28"/>
      <c r="L62" s="55"/>
      <c r="M62" s="91"/>
    </row>
    <row r="63" spans="1:13" s="30" customFormat="1" ht="40.15" customHeight="1">
      <c r="B63" s="43" t="s">
        <v>98</v>
      </c>
      <c r="C63" s="40">
        <f>'Part L Outputs'!R96/1000</f>
        <v>0.6507099999999999</v>
      </c>
      <c r="D63" s="40">
        <f>C62-C63</f>
        <v>0</v>
      </c>
      <c r="E63" s="44">
        <f>IFERROR(D63/C61,0)</f>
        <v>0</v>
      </c>
      <c r="F63" s="56">
        <f>$C$61</f>
        <v>0.91007700000000002</v>
      </c>
      <c r="G63" s="56"/>
      <c r="H63" s="28"/>
      <c r="I63" s="73"/>
      <c r="J63" s="73"/>
      <c r="K63" s="28"/>
      <c r="L63" s="55"/>
      <c r="M63" s="91"/>
    </row>
    <row r="64" spans="1:13" s="30" customFormat="1" ht="66">
      <c r="B64" s="43" t="s">
        <v>99</v>
      </c>
      <c r="C64" s="40">
        <f>'Part L Outputs'!T96/1000</f>
        <v>-0.22730400000000001</v>
      </c>
      <c r="D64" s="40">
        <f>C63-C64</f>
        <v>0.87801399999999985</v>
      </c>
      <c r="E64" s="44">
        <f>IFERROR(D64/C61,0)</f>
        <v>0.96476891515772822</v>
      </c>
      <c r="F64" s="56">
        <f>$C$61</f>
        <v>0.91007700000000002</v>
      </c>
      <c r="G64" s="56"/>
      <c r="H64" s="71"/>
      <c r="I64" s="71" t="s">
        <v>256</v>
      </c>
      <c r="J64" s="71" t="s">
        <v>157</v>
      </c>
      <c r="K64" s="28"/>
      <c r="L64" s="55"/>
      <c r="M64" s="91"/>
    </row>
    <row r="65" spans="1:14" s="30" customFormat="1" ht="40.15" customHeight="1">
      <c r="B65" s="43" t="s">
        <v>100</v>
      </c>
      <c r="C65" s="45" t="s">
        <v>21</v>
      </c>
      <c r="D65" s="40">
        <f>SUM(D62:D64)</f>
        <v>1.137381</v>
      </c>
      <c r="E65" s="44">
        <f>IFERROR(D65/C61,0)</f>
        <v>1.249763481551561</v>
      </c>
      <c r="F65" s="56">
        <f>$C$61</f>
        <v>0.91007700000000002</v>
      </c>
      <c r="G65" s="56"/>
      <c r="H65" s="48" t="s">
        <v>101</v>
      </c>
      <c r="I65" s="67"/>
      <c r="J65" s="67"/>
      <c r="K65" s="28"/>
      <c r="L65" s="55"/>
      <c r="M65" s="91"/>
    </row>
    <row r="66" spans="1:14" s="30" customFormat="1" ht="40.15" customHeight="1">
      <c r="B66" s="39"/>
      <c r="C66" s="45" t="s">
        <v>21</v>
      </c>
      <c r="D66" s="46" t="s">
        <v>102</v>
      </c>
      <c r="E66" s="44" t="s">
        <v>21</v>
      </c>
      <c r="F66" s="53"/>
      <c r="G66" s="53"/>
      <c r="H66" s="48" t="s">
        <v>103</v>
      </c>
      <c r="I66" s="67"/>
      <c r="J66" s="67"/>
      <c r="K66" s="28"/>
      <c r="L66" s="55"/>
      <c r="M66" s="91"/>
    </row>
    <row r="67" spans="1:14" s="30" customFormat="1" ht="40.15" customHeight="1">
      <c r="B67" s="39" t="s">
        <v>104</v>
      </c>
      <c r="C67" s="45" t="s">
        <v>21</v>
      </c>
      <c r="D67" s="47">
        <f>C24+I24</f>
        <v>-6.8191199999999981</v>
      </c>
      <c r="E67" s="44" t="s">
        <v>21</v>
      </c>
      <c r="F67" s="53"/>
      <c r="G67" s="53"/>
      <c r="H67" s="28"/>
      <c r="I67" s="28"/>
      <c r="J67" s="28"/>
      <c r="K67" s="28"/>
      <c r="L67" s="55"/>
      <c r="M67" s="91"/>
    </row>
    <row r="68" spans="1:14" s="28" customFormat="1" ht="15">
      <c r="C68" s="73"/>
      <c r="D68" s="73"/>
      <c r="L68" s="55"/>
      <c r="M68" s="29"/>
    </row>
    <row r="69" spans="1:14" ht="26.25">
      <c r="A69" s="57"/>
      <c r="B69" s="301" t="s">
        <v>105</v>
      </c>
      <c r="C69" s="301"/>
      <c r="D69" s="301"/>
      <c r="E69" s="301"/>
      <c r="F69" s="301"/>
      <c r="G69" s="83"/>
      <c r="H69" s="83"/>
      <c r="I69" s="83"/>
      <c r="J69" s="83"/>
      <c r="K69" s="83"/>
      <c r="L69" s="82"/>
      <c r="M69" s="59"/>
    </row>
    <row r="70" spans="1:14" ht="44.1" customHeight="1">
      <c r="B70" s="189" t="s">
        <v>60</v>
      </c>
      <c r="L70" s="55"/>
      <c r="M70" s="17"/>
    </row>
    <row r="71" spans="1:14" ht="107.25">
      <c r="B71" s="71" t="s">
        <v>26</v>
      </c>
      <c r="C71" s="71" t="s">
        <v>43</v>
      </c>
      <c r="D71" s="71" t="s">
        <v>44</v>
      </c>
      <c r="E71" s="71" t="s">
        <v>45</v>
      </c>
      <c r="F71" s="71" t="s">
        <v>106</v>
      </c>
      <c r="G71" s="300" t="s">
        <v>107</v>
      </c>
      <c r="H71" s="300"/>
      <c r="I71" s="304" t="s">
        <v>108</v>
      </c>
      <c r="J71" s="313"/>
      <c r="K71" s="314"/>
      <c r="M71" s="91"/>
    </row>
    <row r="72" spans="1:14" ht="67.150000000000006" customHeight="1">
      <c r="B72" s="39" t="str">
        <f>IF('EUI &amp; space heating demand'!$B$6="","","Residential")</f>
        <v>Residential</v>
      </c>
      <c r="C72" s="39">
        <f>IF('EUI &amp; space heating demand'!$B$6="","",'EUI &amp; space heating demand'!N6)</f>
        <v>28.032996515679439</v>
      </c>
      <c r="D72" s="39">
        <f>IF('EUI &amp; space heating demand'!$B$6="","",'EUI &amp; space heating demand'!O6)</f>
        <v>5.7742102206736359</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CIBSE TM54 dwellings /  &amp;  Landlord Circulation </v>
      </c>
      <c r="H72" s="307"/>
      <c r="I72" s="295" t="str">
        <f>IF('EUI &amp; space heating demand'!T6="","", CONCATENATE('EUI &amp; space heating demand'!T6, " &amp; ", 'EUI &amp; space heating demand'!T7))</f>
        <v/>
      </c>
      <c r="J72" s="295"/>
      <c r="K72" s="296"/>
      <c r="M72" s="91"/>
    </row>
    <row r="73" spans="1:14" s="193" customFormat="1" ht="67.150000000000006" customHeight="1">
      <c r="B73" s="189" t="s">
        <v>62</v>
      </c>
      <c r="C73" s="194"/>
      <c r="D73" s="194"/>
      <c r="E73" s="195"/>
      <c r="F73" s="195"/>
      <c r="G73" s="196"/>
      <c r="H73" s="196"/>
      <c r="I73" s="196"/>
      <c r="J73" s="196"/>
      <c r="K73" s="196"/>
      <c r="M73" s="91"/>
      <c r="N73" s="2"/>
    </row>
    <row r="74" spans="1:14" ht="107.25">
      <c r="B74" s="71" t="s">
        <v>26</v>
      </c>
      <c r="C74" s="71" t="s">
        <v>43</v>
      </c>
      <c r="D74" s="71" t="s">
        <v>44</v>
      </c>
      <c r="E74" s="71" t="s">
        <v>45</v>
      </c>
      <c r="F74" s="71" t="s">
        <v>106</v>
      </c>
      <c r="G74" s="300" t="s">
        <v>107</v>
      </c>
      <c r="H74" s="300"/>
      <c r="I74" s="304" t="s">
        <v>108</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134</v>
      </c>
      <c r="B3" s="129">
        <v>0.128744</v>
      </c>
    </row>
    <row r="5" spans="1:5">
      <c r="A5" s="131" t="s">
        <v>135</v>
      </c>
    </row>
    <row r="6" spans="1:5">
      <c r="A6" s="132" t="s">
        <v>109</v>
      </c>
      <c r="B6" s="133"/>
      <c r="C6" s="133"/>
      <c r="D6" s="134"/>
      <c r="E6" s="134"/>
    </row>
    <row r="7" spans="1:5">
      <c r="A7" s="134" t="s">
        <v>110</v>
      </c>
      <c r="B7" s="133"/>
      <c r="C7" s="133"/>
      <c r="D7" s="135">
        <f>'GLA Summary Tables'!C$8</f>
        <v>0.91007700000000002</v>
      </c>
      <c r="E7" s="135">
        <f t="shared" ref="E7:E12" si="0">D7*0.65</f>
        <v>0.59155005000000005</v>
      </c>
    </row>
    <row r="8" spans="1:5">
      <c r="A8" s="134" t="s">
        <v>97</v>
      </c>
      <c r="B8" s="136">
        <f>'GLA Summary Tables'!C9</f>
        <v>0.6507099999999999</v>
      </c>
      <c r="C8" s="136">
        <f>IF(B8&lt;0,IF('GLA Summary Tables'!C18&lt;0,0,'GLA Summary Tables'!C18)+B8,IF('GLA Summary Tables'!C18&lt;0,0,'GLA Summary Tables'!C18))</f>
        <v>0.25936700000000013</v>
      </c>
      <c r="D8" s="135">
        <f>'GLA Summary Tables'!C$8</f>
        <v>0.91007700000000002</v>
      </c>
      <c r="E8" s="135">
        <f t="shared" si="0"/>
        <v>0.59155005000000005</v>
      </c>
    </row>
    <row r="9" spans="1:5">
      <c r="A9" s="134" t="s">
        <v>111</v>
      </c>
      <c r="B9" s="136">
        <f>'GLA Summary Tables'!C10</f>
        <v>0.6507099999999999</v>
      </c>
      <c r="C9" s="136">
        <f>IF(B9&lt;0,IF('GLA Summary Tables'!C19&lt;0,0,'GLA Summary Tables'!C19)+B9,IF('GLA Summary Tables'!C19&lt;0,0,'GLA Summary Tables'!C19))</f>
        <v>0</v>
      </c>
      <c r="D9" s="135">
        <f>'GLA Summary Tables'!C$8</f>
        <v>0.91007700000000002</v>
      </c>
      <c r="E9" s="135">
        <f t="shared" si="0"/>
        <v>0.59155005000000005</v>
      </c>
    </row>
    <row r="10" spans="1:5">
      <c r="A10" s="134" t="s">
        <v>112</v>
      </c>
      <c r="B10" s="136">
        <f>'GLA Summary Tables'!C11</f>
        <v>-0.22730400000000001</v>
      </c>
      <c r="C10" s="136">
        <f>IF(B10&lt;0,IF('GLA Summary Tables'!C20&lt;0,0,'GLA Summary Tables'!C20)+B10,IF('GLA Summary Tables'!C20&lt;0,0,'GLA Summary Tables'!C20))</f>
        <v>0.6507099999999999</v>
      </c>
      <c r="D10" s="135">
        <f>'GLA Summary Tables'!C$8</f>
        <v>0.91007700000000002</v>
      </c>
      <c r="E10" s="135">
        <f t="shared" si="0"/>
        <v>0.59155005000000005</v>
      </c>
    </row>
    <row r="11" spans="1:5">
      <c r="A11" s="134" t="s">
        <v>113</v>
      </c>
      <c r="B11" s="136">
        <v>0</v>
      </c>
      <c r="C11" s="136">
        <f>'GLA Summary Tables'!C22</f>
        <v>-0.22730399999999995</v>
      </c>
      <c r="D11" s="135">
        <f>'GLA Summary Tables'!C$8</f>
        <v>0.91007700000000002</v>
      </c>
      <c r="E11" s="135">
        <f t="shared" si="0"/>
        <v>0.59155005000000005</v>
      </c>
    </row>
    <row r="12" spans="1:5">
      <c r="A12" s="134"/>
      <c r="B12" s="133"/>
      <c r="C12" s="133"/>
      <c r="D12" s="135">
        <f>'GLA Summary Tables'!C$8</f>
        <v>0.91007700000000002</v>
      </c>
      <c r="E12" s="135">
        <f t="shared" si="0"/>
        <v>0.59155005000000005</v>
      </c>
    </row>
    <row r="13" spans="1:5">
      <c r="A13" s="132" t="s">
        <v>114</v>
      </c>
      <c r="B13" s="133"/>
      <c r="C13" s="133"/>
      <c r="D13" s="134"/>
      <c r="E13" s="134"/>
    </row>
    <row r="14" spans="1:5">
      <c r="A14" s="134" t="s">
        <v>110</v>
      </c>
      <c r="B14" s="133"/>
      <c r="C14" s="133"/>
      <c r="D14" s="135">
        <f>'GLA Summary Tables'!I$8</f>
        <v>0</v>
      </c>
      <c r="E14" s="135">
        <f t="shared" ref="E14:E19" si="1">D14*0.65</f>
        <v>0</v>
      </c>
    </row>
    <row r="15" spans="1:5">
      <c r="A15" s="134" t="s">
        <v>97</v>
      </c>
      <c r="B15" s="136">
        <f>'GLA Summary Tables'!I9</f>
        <v>0</v>
      </c>
      <c r="C15" s="136">
        <f>'GLA Summary Tables'!I18</f>
        <v>0</v>
      </c>
      <c r="D15" s="135">
        <f>'GLA Summary Tables'!I$8</f>
        <v>0</v>
      </c>
      <c r="E15" s="135">
        <f t="shared" si="1"/>
        <v>0</v>
      </c>
    </row>
    <row r="16" spans="1:5">
      <c r="A16" s="134" t="s">
        <v>111</v>
      </c>
      <c r="B16" s="136">
        <f>'GLA Summary Tables'!I10</f>
        <v>0</v>
      </c>
      <c r="C16" s="136">
        <f>'GLA Summary Tables'!I19</f>
        <v>0</v>
      </c>
      <c r="D16" s="135">
        <f>'GLA Summary Tables'!I$8</f>
        <v>0</v>
      </c>
      <c r="E16" s="135">
        <f t="shared" si="1"/>
        <v>0</v>
      </c>
    </row>
    <row r="17" spans="1:5">
      <c r="A17" s="134" t="s">
        <v>112</v>
      </c>
      <c r="B17" s="136">
        <f>'GLA Summary Tables'!I11</f>
        <v>0</v>
      </c>
      <c r="C17" s="136">
        <f>'GLA Summary Tables'!I20</f>
        <v>0</v>
      </c>
      <c r="D17" s="135">
        <f>'GLA Summary Tables'!I$8</f>
        <v>0</v>
      </c>
      <c r="E17" s="135">
        <f t="shared" si="1"/>
        <v>0</v>
      </c>
    </row>
    <row r="18" spans="1:5">
      <c r="A18" s="134" t="s">
        <v>113</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141</v>
      </c>
    </row>
    <row r="22" spans="1:5">
      <c r="A22" s="146"/>
      <c r="B22" s="148" t="s">
        <v>53</v>
      </c>
      <c r="C22" s="146" t="s">
        <v>53</v>
      </c>
    </row>
    <row r="23" spans="1:5">
      <c r="A23" s="146" t="s">
        <v>26</v>
      </c>
      <c r="B23" s="146" t="s">
        <v>54</v>
      </c>
      <c r="C23" s="146" t="s">
        <v>55</v>
      </c>
    </row>
    <row r="24" spans="1:5">
      <c r="A24" s="149" t="s">
        <v>56</v>
      </c>
      <c r="B24" s="148">
        <v>55</v>
      </c>
      <c r="C24" s="146">
        <v>15</v>
      </c>
    </row>
    <row r="25" spans="1:5">
      <c r="A25" s="149" t="s">
        <v>57</v>
      </c>
      <c r="B25" s="148">
        <v>55</v>
      </c>
      <c r="C25" s="146">
        <v>15</v>
      </c>
    </row>
    <row r="26" spans="1:5">
      <c r="A26" s="149" t="s">
        <v>58</v>
      </c>
      <c r="B26" s="148">
        <v>55</v>
      </c>
      <c r="C26" s="146">
        <v>15</v>
      </c>
    </row>
    <row r="27" spans="1:5">
      <c r="A27" s="149" t="s">
        <v>59</v>
      </c>
      <c r="B27" s="148">
        <v>65</v>
      </c>
      <c r="C27" s="146">
        <v>15</v>
      </c>
    </row>
    <row r="28" spans="1:5">
      <c r="A28" s="146"/>
      <c r="B28" s="146"/>
      <c r="C28" s="146"/>
    </row>
    <row r="29" spans="1:5">
      <c r="A29" s="149" t="s">
        <v>60</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2023-08-15T14:33:40Z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