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partner-integrations.egnyte.com/msoffice/wopi/files/5cf6b508-f16c-4775-9a7c-61e66bdfc96f/WOPIServiceId_TP_EGNYTE_PLUS/WOPIUserId_-/"/>
    </mc:Choice>
  </mc:AlternateContent>
  <xr:revisionPtr revIDLastSave="48" documentId="13_ncr:1_{BD36D943-7278-4DE8-8B3E-FC6CF2B9DF91}" xr6:coauthVersionLast="47" xr6:coauthVersionMax="47" xr10:uidLastSave="{2A589C35-69C7-4F3B-9257-1865318D351F}"/>
  <bookViews>
    <workbookView xWindow="15435" yWindow="-15030" windowWidth="21600" windowHeight="11295" firstSheet="7" activeTab="8" xr2:uid="{45E6BB50-68D6-4D94-9AE6-BAD34F575FBB}"/>
  </bookViews>
  <sheets>
    <sheet name="Cover" sheetId="23" r:id="rId1"/>
    <sheet name="Version" sheetId="24" r:id="rId2"/>
    <sheet name="Instructions" sheetId="1" r:id="rId3"/>
    <sheet name="ID sheet" sheetId="3" r:id="rId4"/>
    <sheet name="ModelIT Tabular Data" sheetId="18" r:id="rId5"/>
    <sheet name="Output Sheet 1" sheetId="4" r:id="rId6"/>
    <sheet name="Compliance summary" sheetId="10" r:id="rId7"/>
    <sheet name="Plots" sheetId="25" r:id="rId8"/>
    <sheet name="P1" sheetId="19" r:id="rId9"/>
    <sheet name="Overheating severity visual" sheetId="13" r:id="rId10"/>
    <sheet name="Template" sheetId="2" r:id="rId11"/>
    <sheet name="DSY1 2020" sheetId="33" r:id="rId12"/>
    <sheet name="DSY2 2020" sheetId="34" r:id="rId13"/>
    <sheet name="DSY3 2020" sheetId="35" r:id="rId14"/>
    <sheet name="DSY1 2050" sheetId="36" r:id="rId15"/>
    <sheet name="DSY2 2050" sheetId="37" r:id="rId16"/>
    <sheet name="DSY3 2050" sheetId="38" r:id="rId17"/>
  </sheets>
  <definedNames>
    <definedName name="_xlnm._FilterDatabase" localSheetId="3" hidden="1">'ID sheet'!$A$2:$C$532</definedName>
    <definedName name="Centile_0">_xlfn.ANCHORARRAY(Plots!$G$37)</definedName>
    <definedName name="Centile_100">_xlfn.ANCHORARRAY(Plots!$G$33)</definedName>
    <definedName name="Centile_25">_xlfn.ANCHORARRAY(Plots!$G$36)</definedName>
    <definedName name="Centile_50">_xlfn.ANCHORARRAY(Plots!$G$35)</definedName>
    <definedName name="Centile_75">_xlfn.ANCHORARRAY(Plots!$G$34)</definedName>
    <definedName name="Plot_Labels">_xlfn.ANCHORARRAY(Plots!$G$12)</definedName>
    <definedName name="_xlnm.Print_Titles" localSheetId="8">'P1'!$6:$6</definedName>
    <definedName name="Reference">_xlfn.ANCHORARRAY(Plots!$G$18)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R4" i="38" l="1"/>
  <c r="BD4" i="38"/>
  <c r="AO4" i="38"/>
  <c r="Z4" i="38"/>
  <c r="J4" i="38"/>
  <c r="H2" i="38"/>
  <c r="BR4" i="37"/>
  <c r="BD4" i="37"/>
  <c r="AO4" i="37"/>
  <c r="Z4" i="37"/>
  <c r="J4" i="37"/>
  <c r="H2" i="37"/>
  <c r="BR4" i="36"/>
  <c r="BD4" i="36"/>
  <c r="AO4" i="36"/>
  <c r="Z4" i="36"/>
  <c r="J4" i="36"/>
  <c r="H2" i="36"/>
  <c r="BR4" i="35"/>
  <c r="BD4" i="35"/>
  <c r="AO4" i="35"/>
  <c r="Z4" i="35"/>
  <c r="J4" i="35"/>
  <c r="H2" i="35"/>
  <c r="BR4" i="34"/>
  <c r="BD4" i="34"/>
  <c r="AO4" i="34"/>
  <c r="Z4" i="34"/>
  <c r="J4" i="34"/>
  <c r="H2" i="34"/>
  <c r="BR4" i="33"/>
  <c r="BD4" i="33"/>
  <c r="AO4" i="33"/>
  <c r="Z4" i="33"/>
  <c r="J4" i="33"/>
  <c r="H2" i="33"/>
  <c r="CU6" i="4"/>
  <c r="CH1" i="4"/>
  <c r="CE6" i="4"/>
  <c r="BR1" i="4"/>
  <c r="BO6" i="4"/>
  <c r="BB1" i="4"/>
  <c r="AY6" i="4"/>
  <c r="AL1" i="4"/>
  <c r="AI6" i="4"/>
  <c r="V1" i="4"/>
  <c r="G12" i="25" a="1"/>
  <c r="G12" i="25" s="1"/>
  <c r="G11" i="25" a="1"/>
  <c r="G11" i="25" s="1"/>
  <c r="CQ4" i="4" a="1"/>
  <c r="BK4" i="4" a="1"/>
  <c r="CA4" i="4" a="1"/>
  <c r="AU4" i="4" a="1"/>
  <c r="AE4" i="4" a="1"/>
  <c r="CQ4" i="4" l="1"/>
  <c r="CA4" i="4"/>
  <c r="BK4" i="4"/>
  <c r="AU4" i="4"/>
  <c r="AE4" i="4"/>
  <c r="F18" i="25"/>
  <c r="G39" i="25"/>
  <c r="G20" i="25"/>
  <c r="C2" i="25" a="1"/>
  <c r="C2" i="25" s="1"/>
  <c r="H2" i="2" l="1"/>
  <c r="BR4" i="2"/>
  <c r="C4" i="19"/>
  <c r="F1" i="4"/>
  <c r="Z4" i="2"/>
  <c r="AO4" i="2"/>
  <c r="Q2" i="3" a="1"/>
  <c r="Q2" i="3" s="1"/>
  <c r="AA2" i="3" a="1"/>
  <c r="AA2" i="3" s="1"/>
  <c r="F11" i="3" a="1"/>
  <c r="F11" i="3" s="1"/>
  <c r="A3" i="19"/>
  <c r="A4" i="19"/>
  <c r="A5" i="19"/>
  <c r="A6" i="19"/>
  <c r="A7" i="19"/>
  <c r="A8" i="19"/>
  <c r="A9" i="19"/>
  <c r="A10" i="19"/>
  <c r="A2" i="19"/>
  <c r="W2" i="3" a="1"/>
  <c r="P2" i="3" a="1"/>
  <c r="J13" i="25" a="1"/>
  <c r="O13" i="25" a="1"/>
  <c r="U2" i="3" a="1"/>
  <c r="O40" i="25" a="1"/>
  <c r="K13" i="25" a="1"/>
  <c r="M13" i="25" a="1"/>
  <c r="I13" i="25" a="1"/>
  <c r="O4" i="4" a="1"/>
  <c r="P40" i="25" a="1"/>
  <c r="V2" i="3" a="1"/>
  <c r="N13" i="25" a="1"/>
  <c r="L13" i="25" a="1"/>
  <c r="O2" i="3" a="1"/>
  <c r="N40" i="25" a="1"/>
  <c r="P13" i="25" a="1"/>
  <c r="R2" i="3" l="1" a="1"/>
  <c r="R2" i="3" s="1"/>
  <c r="O40" i="25"/>
  <c r="O23" i="25" s="1"/>
  <c r="N40" i="25"/>
  <c r="N23" i="25" s="1"/>
  <c r="P40" i="25"/>
  <c r="P24" i="25" s="1"/>
  <c r="B2" i="25" a="1"/>
  <c r="B2" i="25" s="1"/>
  <c r="E5" i="10" a="1"/>
  <c r="E5" i="10" s="1"/>
  <c r="P13" i="25"/>
  <c r="O13" i="25"/>
  <c r="N13" i="25"/>
  <c r="M13" i="25"/>
  <c r="L13" i="25"/>
  <c r="K13" i="25"/>
  <c r="J13" i="25"/>
  <c r="I13" i="25"/>
  <c r="O4" i="4"/>
  <c r="S2" i="3" a="1"/>
  <c r="S2" i="3" s="1"/>
  <c r="U2" i="3"/>
  <c r="V2" i="3"/>
  <c r="W2" i="3"/>
  <c r="O2" i="3"/>
  <c r="P2" i="3"/>
  <c r="G13" i="25" a="1"/>
  <c r="H13" i="25" a="1"/>
  <c r="P21" i="25" l="1"/>
  <c r="P25" i="25"/>
  <c r="P31" i="25" s="1"/>
  <c r="P22" i="25"/>
  <c r="P23" i="25"/>
  <c r="P29" i="25" s="1"/>
  <c r="O24" i="25"/>
  <c r="O29" i="25" s="1"/>
  <c r="O22" i="25"/>
  <c r="O28" i="25" s="1"/>
  <c r="N22" i="25"/>
  <c r="N28" i="25" s="1"/>
  <c r="N21" i="25"/>
  <c r="N24" i="25"/>
  <c r="N25" i="25"/>
  <c r="N31" i="25" s="1"/>
  <c r="O25" i="25"/>
  <c r="O31" i="25" s="1"/>
  <c r="O21" i="25"/>
  <c r="H13" i="25"/>
  <c r="G13" i="25"/>
  <c r="T2" i="3" a="1"/>
  <c r="T2" i="3" s="1"/>
  <c r="X2" i="3" a="1"/>
  <c r="N27" i="25" l="1"/>
  <c r="P28" i="25"/>
  <c r="P27" i="25"/>
  <c r="P30" i="25"/>
  <c r="N30" i="25"/>
  <c r="N29" i="25"/>
  <c r="O30" i="25"/>
  <c r="O27" i="25"/>
  <c r="G18" i="25" a="1"/>
  <c r="G18" i="25" s="1"/>
  <c r="X2" i="3"/>
  <c r="Y2" i="3" s="1" a="1"/>
  <c r="Y2" i="3" s="1"/>
  <c r="Z2" i="3" l="1" a="1"/>
  <c r="Z2" i="3" l="1"/>
  <c r="AB2" i="3" s="1" a="1"/>
  <c r="AB2" i="3" s="1"/>
  <c r="A3" i="3" l="1" a="1"/>
  <c r="S6" i="4"/>
  <c r="A3" i="3" l="1"/>
  <c r="E7" i="4" s="1" a="1"/>
  <c r="H1" i="13" a="1"/>
  <c r="H1" i="13" s="1"/>
  <c r="B2" i="19" a="1"/>
  <c r="B2" i="19" s="1"/>
  <c r="CG7" i="4" l="1" a="1"/>
  <c r="CG7" i="4" s="1"/>
  <c r="CS7" i="4" s="1" a="1"/>
  <c r="CS7" i="4" s="1"/>
  <c r="BA7" i="4" a="1"/>
  <c r="BA7" i="4" s="1"/>
  <c r="BM7" i="4" s="1" a="1"/>
  <c r="BM7" i="4" s="1"/>
  <c r="BQ7" i="4" a="1"/>
  <c r="AK7" i="4" a="1"/>
  <c r="U7" i="4" a="1"/>
  <c r="U7" i="4" s="1"/>
  <c r="AG7" i="4" s="1" a="1"/>
  <c r="AG7" i="4" s="1"/>
  <c r="E7" i="4"/>
  <c r="Q7" i="4" s="1" a="1"/>
  <c r="Q7" i="4" s="1"/>
  <c r="B3" i="3" a="1"/>
  <c r="C3" i="3" a="1"/>
  <c r="BQ7" i="4" l="1"/>
  <c r="CC7" i="4" s="1" a="1"/>
  <c r="CC7" i="4" s="1"/>
  <c r="AK7" i="4"/>
  <c r="AW7" i="4" s="1" a="1"/>
  <c r="AW7" i="4" s="1"/>
  <c r="B3" i="3"/>
  <c r="F6" i="3" s="1" a="1"/>
  <c r="F6" i="3" s="1"/>
  <c r="C3" i="3"/>
  <c r="D3" i="3" s="1" a="1"/>
  <c r="BD4" i="2"/>
  <c r="J4" i="2"/>
  <c r="B2" i="38" l="1" a="1"/>
  <c r="B2" i="37" a="1"/>
  <c r="B2" i="36" a="1"/>
  <c r="B2" i="35" a="1"/>
  <c r="B2" i="34" a="1"/>
  <c r="B2" i="34" s="1"/>
  <c r="G2" i="34" s="1" a="1"/>
  <c r="G2" i="34" s="1"/>
  <c r="B2" i="33" a="1"/>
  <c r="CH7" i="4" a="1"/>
  <c r="CI7" i="4" a="1"/>
  <c r="BR7" i="4" a="1"/>
  <c r="BS7" i="4" a="1"/>
  <c r="BB7" i="4" a="1"/>
  <c r="BB7" i="4" s="1"/>
  <c r="BC7" i="4" a="1"/>
  <c r="AM7" i="4" a="1"/>
  <c r="AL7" i="4" a="1"/>
  <c r="V7" i="4" a="1"/>
  <c r="V7" i="4" s="1"/>
  <c r="W7" i="4" a="1"/>
  <c r="W7" i="4" s="1"/>
  <c r="F3" i="3"/>
  <c r="C7" i="19" a="1"/>
  <c r="C7" i="19" s="1"/>
  <c r="A3" i="10" a="1"/>
  <c r="A3" i="10" s="1"/>
  <c r="B2" i="2" a="1"/>
  <c r="B2" i="2" s="1"/>
  <c r="G7" i="4" a="1"/>
  <c r="F7" i="4" a="1"/>
  <c r="D3" i="3"/>
  <c r="C2" i="2" s="1" a="1"/>
  <c r="B2" i="38" l="1"/>
  <c r="G2" i="38" s="1" a="1"/>
  <c r="G2" i="38" s="1"/>
  <c r="C2" i="38" a="1"/>
  <c r="B2" i="37"/>
  <c r="G2" i="37" s="1" a="1"/>
  <c r="G2" i="37" s="1"/>
  <c r="C2" i="37" a="1"/>
  <c r="C2" i="36" a="1"/>
  <c r="C2" i="36" s="1"/>
  <c r="B2" i="36"/>
  <c r="G2" i="36" s="1" a="1"/>
  <c r="G2" i="36" s="1"/>
  <c r="B2" i="35"/>
  <c r="G2" i="35" s="1" a="1"/>
  <c r="G2" i="35" s="1"/>
  <c r="C2" i="35" a="1"/>
  <c r="C2" i="34" a="1"/>
  <c r="B2" i="33"/>
  <c r="G2" i="33" s="1" a="1"/>
  <c r="G2" i="33" s="1"/>
  <c r="C2" i="33" a="1"/>
  <c r="CI7" i="4"/>
  <c r="CH7" i="4"/>
  <c r="BS7" i="4"/>
  <c r="BR7" i="4"/>
  <c r="BC7" i="4"/>
  <c r="AL7" i="4"/>
  <c r="AM7" i="4"/>
  <c r="D7" i="19" a="1"/>
  <c r="D7" i="19" s="1"/>
  <c r="F7" i="4"/>
  <c r="G2" i="2" a="1"/>
  <c r="G2" i="2" s="1"/>
  <c r="G7" i="4"/>
  <c r="C2" i="2"/>
  <c r="D2" i="2" s="1" a="1"/>
  <c r="D2" i="2" s="1"/>
  <c r="CQ7" i="4" a="1"/>
  <c r="BK7" i="4" a="1"/>
  <c r="AU7" i="4" a="1"/>
  <c r="CA7" i="4" a="1"/>
  <c r="F2" i="36" l="1" a="1"/>
  <c r="F2" i="36" s="1"/>
  <c r="C2" i="38"/>
  <c r="E2" i="38" s="1" a="1"/>
  <c r="E2" i="38" s="1"/>
  <c r="C2" i="37"/>
  <c r="F2" i="37" s="1" a="1"/>
  <c r="F2" i="37" s="1"/>
  <c r="E2" i="36" a="1"/>
  <c r="E2" i="36" s="1"/>
  <c r="D2" i="36" a="1"/>
  <c r="D2" i="36" s="1"/>
  <c r="C2" i="35"/>
  <c r="F2" i="35" s="1" a="1"/>
  <c r="F2" i="35" s="1"/>
  <c r="C2" i="34"/>
  <c r="F2" i="34" s="1" a="1"/>
  <c r="F2" i="34" s="1"/>
  <c r="C2" i="33"/>
  <c r="E2" i="33" s="1" a="1"/>
  <c r="E2" i="33" s="1"/>
  <c r="CQ7" i="4"/>
  <c r="CQ3" i="4" s="1"/>
  <c r="CA7" i="4"/>
  <c r="CA3" i="4" s="1"/>
  <c r="BK7" i="4"/>
  <c r="BK3" i="4" s="1"/>
  <c r="AU7" i="4"/>
  <c r="AU3" i="4" s="1"/>
  <c r="F2" i="2" a="1"/>
  <c r="F2" i="2" s="1"/>
  <c r="E2" i="2" a="1"/>
  <c r="E2" i="2" s="1"/>
  <c r="O7" i="4" a="1"/>
  <c r="D2" i="38" l="1" a="1"/>
  <c r="D2" i="38" s="1"/>
  <c r="F2" i="38" a="1"/>
  <c r="F2" i="38" s="1"/>
  <c r="E2" i="37" a="1"/>
  <c r="E2" i="37" s="1"/>
  <c r="D2" i="37" a="1"/>
  <c r="D2" i="37" s="1"/>
  <c r="D2" i="35" a="1"/>
  <c r="D2" i="35" s="1"/>
  <c r="E2" i="35" a="1"/>
  <c r="E2" i="35" s="1"/>
  <c r="D2" i="34" a="1"/>
  <c r="D2" i="34" s="1"/>
  <c r="E2" i="34" a="1"/>
  <c r="E2" i="34" s="1"/>
  <c r="D2" i="33" a="1"/>
  <c r="D2" i="33" s="1"/>
  <c r="F2" i="33" a="1"/>
  <c r="F2" i="33" s="1"/>
  <c r="O7" i="4"/>
  <c r="O3" i="4" s="1"/>
  <c r="M40" i="25" a="1"/>
  <c r="M40" i="25" l="1"/>
  <c r="M21" i="25" s="1"/>
  <c r="M25" i="25" l="1"/>
  <c r="M31" i="25" s="1"/>
  <c r="M23" i="25"/>
  <c r="M24" i="25"/>
  <c r="M22" i="25"/>
  <c r="M27" i="25" s="1"/>
  <c r="M29" i="25" l="1"/>
  <c r="M30" i="25"/>
  <c r="M28" i="25"/>
  <c r="J7" i="4" a="1"/>
  <c r="L7" i="4" a="1"/>
  <c r="L7" i="4" l="1"/>
  <c r="M7" i="4" s="1" a="1"/>
  <c r="J7" i="4"/>
  <c r="K7" i="4" l="1" a="1"/>
  <c r="K7" i="4" s="1"/>
  <c r="M7" i="4"/>
  <c r="I40" i="25" a="1"/>
  <c r="CN7" i="4" a="1"/>
  <c r="Z7" i="4" a="1"/>
  <c r="BD7" i="4" a="1"/>
  <c r="CL7" i="4" a="1"/>
  <c r="L40" i="25" a="1"/>
  <c r="CJ7" i="4" a="1"/>
  <c r="AB7" i="4" a="1"/>
  <c r="AN7" i="4" a="1"/>
  <c r="BX7" i="4" a="1"/>
  <c r="BV7" i="4" a="1"/>
  <c r="H7" i="4" a="1"/>
  <c r="J40" i="25" a="1"/>
  <c r="X7" i="4" a="1"/>
  <c r="G40" i="25" a="1"/>
  <c r="AP7" i="4" a="1"/>
  <c r="BT7" i="4" a="1"/>
  <c r="BF7" i="4" a="1"/>
  <c r="AR7" i="4" a="1"/>
  <c r="BH7" i="4" a="1"/>
  <c r="K40" i="25" a="1"/>
  <c r="AE7" i="4" a="1"/>
  <c r="L40" i="25" l="1"/>
  <c r="L23" i="25" s="1"/>
  <c r="CJ7" i="4"/>
  <c r="CK7" i="4" s="1" a="1"/>
  <c r="CK7" i="4" s="1"/>
  <c r="CL7" i="4"/>
  <c r="CM7" i="4" s="1" a="1"/>
  <c r="CM7" i="4" s="1"/>
  <c r="CN7" i="4"/>
  <c r="CO7" i="4" s="1" a="1"/>
  <c r="BV7" i="4"/>
  <c r="BW7" i="4" s="1" a="1"/>
  <c r="BW7" i="4" s="1"/>
  <c r="K40" i="25"/>
  <c r="K24" i="25" s="1"/>
  <c r="BT7" i="4"/>
  <c r="BU7" i="4" s="1" a="1"/>
  <c r="BU7" i="4" s="1"/>
  <c r="BX7" i="4"/>
  <c r="BY7" i="4" s="1" a="1"/>
  <c r="J40" i="25"/>
  <c r="J21" i="25" s="1"/>
  <c r="BD7" i="4"/>
  <c r="BE7" i="4" s="1" a="1"/>
  <c r="BE7" i="4" s="1"/>
  <c r="BF7" i="4"/>
  <c r="BG7" i="4" s="1" a="1"/>
  <c r="BG7" i="4" s="1"/>
  <c r="BH7" i="4"/>
  <c r="BI7" i="4" s="1" a="1"/>
  <c r="AP7" i="4"/>
  <c r="AQ7" i="4" s="1" a="1"/>
  <c r="AQ7" i="4" s="1"/>
  <c r="AR7" i="4"/>
  <c r="AS7" i="4" s="1" a="1"/>
  <c r="I40" i="25"/>
  <c r="I23" i="25" s="1"/>
  <c r="AN7" i="4"/>
  <c r="AO7" i="4" s="1" a="1"/>
  <c r="AO7" i="4" s="1"/>
  <c r="Z7" i="4"/>
  <c r="AA7" i="4" s="1" a="1"/>
  <c r="AA7" i="4" s="1"/>
  <c r="AB7" i="4"/>
  <c r="AC7" i="4" s="1" a="1"/>
  <c r="AE7" i="4"/>
  <c r="X7" i="4"/>
  <c r="Y7" i="4" s="1" a="1"/>
  <c r="Y7" i="4" s="1"/>
  <c r="G40" i="25"/>
  <c r="G24" i="25" s="1"/>
  <c r="H7" i="4"/>
  <c r="I7" i="4" s="1" a="1"/>
  <c r="I7" i="4" s="1"/>
  <c r="N7" i="4" s="1" a="1"/>
  <c r="H40" i="25" a="1"/>
  <c r="G25" i="25" l="1"/>
  <c r="G31" i="25" s="1"/>
  <c r="G21" i="25"/>
  <c r="G23" i="25"/>
  <c r="G29" i="25" s="1"/>
  <c r="G22" i="25"/>
  <c r="I25" i="25"/>
  <c r="I31" i="25" s="1"/>
  <c r="I24" i="25"/>
  <c r="I29" i="25" s="1"/>
  <c r="I21" i="25"/>
  <c r="I22" i="25"/>
  <c r="I28" i="25" s="1"/>
  <c r="L21" i="25"/>
  <c r="L22" i="25"/>
  <c r="L28" i="25" s="1"/>
  <c r="L25" i="25"/>
  <c r="L31" i="25" s="1"/>
  <c r="L24" i="25"/>
  <c r="L29" i="25" s="1"/>
  <c r="H40" i="25"/>
  <c r="H22" i="25" s="1"/>
  <c r="AS7" i="4"/>
  <c r="AT7" i="4" s="1" a="1"/>
  <c r="AE3" i="4"/>
  <c r="J5" i="10" s="1" a="1"/>
  <c r="J5" i="10" s="1"/>
  <c r="BY7" i="4"/>
  <c r="BZ7" i="4" s="1" a="1"/>
  <c r="K21" i="25"/>
  <c r="K22" i="25"/>
  <c r="K25" i="25"/>
  <c r="K31" i="25" s="1"/>
  <c r="J22" i="25"/>
  <c r="AC7" i="4"/>
  <c r="AD7" i="4" s="1" a="1"/>
  <c r="J23" i="25"/>
  <c r="N7" i="4"/>
  <c r="R7" i="4" s="1" a="1"/>
  <c r="R7" i="4" s="1"/>
  <c r="J24" i="25"/>
  <c r="K23" i="25"/>
  <c r="K29" i="25" s="1"/>
  <c r="CO7" i="4"/>
  <c r="CP7" i="4" s="1" a="1"/>
  <c r="BI7" i="4"/>
  <c r="BJ7" i="4" s="1" a="1"/>
  <c r="J25" i="25"/>
  <c r="J31" i="25" s="1"/>
  <c r="H23" i="25" l="1"/>
  <c r="H28" i="25" s="1"/>
  <c r="G28" i="25"/>
  <c r="O2" i="4"/>
  <c r="I30" i="25"/>
  <c r="G30" i="25"/>
  <c r="H24" i="25"/>
  <c r="H21" i="25"/>
  <c r="H27" i="25" s="1"/>
  <c r="I27" i="25"/>
  <c r="G27" i="25"/>
  <c r="L27" i="25"/>
  <c r="K28" i="25"/>
  <c r="L30" i="25"/>
  <c r="J29" i="25"/>
  <c r="K30" i="25"/>
  <c r="BJ7" i="4"/>
  <c r="BK2" i="4" s="1"/>
  <c r="J28" i="25"/>
  <c r="CP7" i="4"/>
  <c r="CQ2" i="4" s="1"/>
  <c r="CT7" i="4" a="1"/>
  <c r="CT7" i="4" s="1"/>
  <c r="J27" i="25"/>
  <c r="H25" i="25"/>
  <c r="H31" i="25" s="1"/>
  <c r="G37" i="25" s="1" a="1"/>
  <c r="G37" i="25" s="1"/>
  <c r="AD7" i="4"/>
  <c r="AE2" i="4" s="1"/>
  <c r="K27" i="25"/>
  <c r="BZ7" i="4"/>
  <c r="CA2" i="4" s="1"/>
  <c r="AT7" i="4"/>
  <c r="AX7" i="4" s="1" a="1"/>
  <c r="AX7" i="4" s="1"/>
  <c r="J30" i="25"/>
  <c r="BN7" i="4" l="1" a="1"/>
  <c r="BN7" i="4" s="1"/>
  <c r="H29" i="25"/>
  <c r="G35" i="25" s="1" a="1"/>
  <c r="G35" i="25" s="1"/>
  <c r="AH7" i="4" a="1"/>
  <c r="AH7" i="4" s="1"/>
  <c r="CD7" i="4" a="1"/>
  <c r="CD7" i="4" s="1"/>
  <c r="AU2" i="4"/>
  <c r="G33" i="25" a="1"/>
  <c r="G33" i="25" s="1"/>
  <c r="G34" i="25" a="1"/>
  <c r="G34" i="25" s="1"/>
  <c r="H30" i="25"/>
  <c r="G36" i="25" s="1" a="1"/>
  <c r="G36" i="25" s="1"/>
  <c r="M5" i="10" a="1"/>
  <c r="H5" i="10" a="1"/>
  <c r="J7" i="19" a="1"/>
  <c r="H7" i="19" a="1"/>
  <c r="M6" i="13" a="1"/>
  <c r="O6" i="13" a="1"/>
  <c r="Q5" i="10" a="1"/>
  <c r="N6" i="13" a="1"/>
  <c r="P5" i="10" a="1"/>
  <c r="G7" i="19" a="1"/>
  <c r="E7" i="19" a="1"/>
  <c r="L7" i="19" a="1"/>
  <c r="G5" i="10" a="1"/>
  <c r="K7" i="19" a="1"/>
  <c r="I7" i="19" a="1"/>
  <c r="L5" i="10" a="1"/>
  <c r="F7" i="19" a="1"/>
  <c r="H5" i="10" l="1"/>
  <c r="Q5" i="10"/>
  <c r="M5" i="10"/>
  <c r="G5" i="10"/>
  <c r="P5" i="10"/>
  <c r="L5" i="10"/>
  <c r="O6" i="13"/>
  <c r="P6" i="13" s="1" a="1"/>
  <c r="P6" i="13" s="1"/>
  <c r="N6" i="13"/>
  <c r="L7" i="19"/>
  <c r="K7" i="19"/>
  <c r="H7" i="19"/>
  <c r="G7" i="19"/>
  <c r="F7" i="19"/>
  <c r="M6" i="13"/>
  <c r="V5" i="13" s="1" a="1"/>
  <c r="V5" i="13" s="1"/>
  <c r="E7" i="19"/>
  <c r="I7" i="19"/>
  <c r="J7" i="19"/>
  <c r="F5" i="10" a="1"/>
  <c r="R6" i="13" l="1" a="1"/>
  <c r="R6" i="13" s="1"/>
  <c r="Q6" i="13" a="1"/>
  <c r="Q6" i="13" s="1"/>
  <c r="F5" i="10"/>
  <c r="K5" i="10" a="1"/>
  <c r="S6" i="13" l="1" a="1"/>
  <c r="S6" i="13" s="1"/>
  <c r="W5" i="13" s="1" a="1"/>
  <c r="W5" i="13" s="1"/>
  <c r="K5" i="10"/>
  <c r="O5" i="10" a="1"/>
  <c r="N5" i="10" a="1"/>
  <c r="I5" i="10" a="1"/>
  <c r="R5" i="10" a="1"/>
  <c r="R5" i="10" l="1"/>
  <c r="O5" i="10"/>
  <c r="I5" i="10"/>
  <c r="N5"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<sst xmlns="http://schemas.openxmlformats.org/spreadsheetml/2006/main" count="1657" uniqueCount="344">
  <si>
    <t>Room Name</t>
  </si>
  <si>
    <t>Space ID</t>
  </si>
  <si>
    <t>Room name</t>
  </si>
  <si>
    <t>Grouping scheme</t>
  </si>
  <si>
    <t>Instructions</t>
  </si>
  <si>
    <t>Criterion 1</t>
  </si>
  <si>
    <t>Max temperature</t>
  </si>
  <si>
    <t>Sheet name:</t>
  </si>
  <si>
    <t>PASS/FAIL</t>
  </si>
  <si>
    <r>
      <t>Maximum operative temperature (</t>
    </r>
    <r>
      <rPr>
        <b/>
        <sz val="11"/>
        <color theme="1"/>
        <rFont val="Calibri"/>
        <family val="2"/>
      </rPr>
      <t>°C)</t>
    </r>
  </si>
  <si>
    <t>NV compliance (%)</t>
  </si>
  <si>
    <t>Grouping scheme summary</t>
  </si>
  <si>
    <t>Iteration</t>
  </si>
  <si>
    <t>This sheet provides a summary of the compliance statistics for all iterations.</t>
  </si>
  <si>
    <t>Compliance statistics are broken down by the grouping scheme defined in the ID sheet. A summary of the room groups is shown to the left for reference.</t>
  </si>
  <si>
    <t>Summary</t>
  </si>
  <si>
    <t>Analysis for a given room group is shown by solid cell boundaries in row 2</t>
  </si>
  <si>
    <t>2. For any extra room groups, insert the required number of columns and copy the in columns from a room of the same type, shown by colour and borders. Enter new grouping scheme into orange input box.</t>
  </si>
  <si>
    <t>1. Enter grouping scheme names into the orange input boxes. These need to match the names shown in the grouping scheme summary.</t>
  </si>
  <si>
    <t>3. For data presentation, columns can be deleted or added, and cells can be dragged around - as long as the grouping scheme input boxes and iteration labels are preserved.</t>
  </si>
  <si>
    <t>This sheet provides a detailed summary of the overheating criteria and compliance statistics for each space.</t>
  </si>
  <si>
    <t>A room-groups output sheet is generated that can be copied into IES to help visualise the compliance statistics by location on the 3D model.</t>
  </si>
  <si>
    <t>Note</t>
  </si>
  <si>
    <t>1. Enter the sheet name corresponding to the sheet where the data is stored into the orange input boxes.</t>
  </si>
  <si>
    <t>2. To add new iterations, copy all columns between the yellow partitions, and paste at the end of this sheet. Enter the sheet name where the data from the new iteration is stored into the orange input box.</t>
  </si>
  <si>
    <t>Any sorting of data must be done from the ID sheet, or after copying to a separate file.</t>
  </si>
  <si>
    <t>Duplicate check</t>
  </si>
  <si>
    <t>Notes</t>
  </si>
  <si>
    <t>1. The space IDs, room names, and grouping schemes input here must be the same for all iterations analysed in the workbook.</t>
  </si>
  <si>
    <t>2. If the space IDs change as a result of needing to remodel spaces, the updated space IDs will need to be manually updated wherever relevant in the output sheets.</t>
  </si>
  <si>
    <t xml:space="preserve">3. All room names in the table must be unique - with no duplicate values. </t>
  </si>
  <si>
    <t>2. Copy the template sheet to the end of the document, and rename after the test iteration.</t>
  </si>
  <si>
    <t>3. Paste data from IES into the relevant locations in the sheet created in step 2.</t>
  </si>
  <si>
    <t>4. In output sheet 1, add the new sheet name in the input box.</t>
  </si>
  <si>
    <t>5. All results sheets will be automatically populated, which can now be copied out for presentation purposes.</t>
  </si>
  <si>
    <t>Overheating severity colour scheme</t>
  </si>
  <si>
    <t>Red</t>
  </si>
  <si>
    <t>Green</t>
  </si>
  <si>
    <t>Blue</t>
  </si>
  <si>
    <r>
      <t>Threshold (</t>
    </r>
    <r>
      <rPr>
        <b/>
        <sz val="11"/>
        <color theme="1"/>
        <rFont val="Calibri"/>
        <family val="2"/>
      </rPr>
      <t>°C)</t>
    </r>
  </si>
  <si>
    <t>Max temp</t>
  </si>
  <si>
    <t>Colour (Real)</t>
  </si>
  <si>
    <t>&gt;</t>
  </si>
  <si>
    <t>Name Check</t>
  </si>
  <si>
    <t>Grouping Schemes</t>
  </si>
  <si>
    <t>Room Groups in selected scheme</t>
  </si>
  <si>
    <t>Space name</t>
  </si>
  <si>
    <t>Room Group</t>
  </si>
  <si>
    <t>Group length</t>
  </si>
  <si>
    <t>Sorted</t>
  </si>
  <si>
    <t>Sort By</t>
  </si>
  <si>
    <t>Sorting options</t>
  </si>
  <si>
    <t>Space Name</t>
  </si>
  <si>
    <t>This sheet allows some simplified sorting, which determines the order results appear in the tables in the output sheets.</t>
  </si>
  <si>
    <t>1. Ensure the ModelIT Tabular data is pasted into the ModelIT Tabular data tab.</t>
  </si>
  <si>
    <t>1. Paste ModelIT Tabular Data into cell A1 of the ModelIT Tabular Data sheet.</t>
  </si>
  <si>
    <t>2. Select relevant room groups in the ID sheet.</t>
  </si>
  <si>
    <t>Iterations</t>
  </si>
  <si>
    <t>Maximum operative temperature (°C)</t>
  </si>
  <si>
    <t>Calculation Cover Sheet</t>
  </si>
  <si>
    <t>Office of Origin:</t>
  </si>
  <si>
    <t>Project:</t>
  </si>
  <si>
    <t>Client :</t>
  </si>
  <si>
    <t>Project Number:</t>
  </si>
  <si>
    <t>Discipline:</t>
  </si>
  <si>
    <t xml:space="preserve">Environmental - </t>
  </si>
  <si>
    <t>•</t>
  </si>
  <si>
    <t xml:space="preserve">Electrical - </t>
  </si>
  <si>
    <t xml:space="preserve">Acoustics - </t>
  </si>
  <si>
    <t xml:space="preserve">Lift - </t>
  </si>
  <si>
    <t xml:space="preserve">Mechanical - </t>
  </si>
  <si>
    <t xml:space="preserve">Fire - </t>
  </si>
  <si>
    <t xml:space="preserve">Public Health - </t>
  </si>
  <si>
    <t>Title:</t>
  </si>
  <si>
    <t>Series:</t>
  </si>
  <si>
    <t>Calculation No:</t>
  </si>
  <si>
    <t>Status:</t>
  </si>
  <si>
    <t>Description:</t>
  </si>
  <si>
    <t>Author:</t>
  </si>
  <si>
    <t>Reviewed by:</t>
  </si>
  <si>
    <t>Number of Pages:</t>
  </si>
  <si>
    <t>Creation Date:</t>
  </si>
  <si>
    <t>Revision:</t>
  </si>
  <si>
    <t>Revision Information:</t>
  </si>
  <si>
    <t>Index</t>
  </si>
  <si>
    <t>Description</t>
  </si>
  <si>
    <t>Revision</t>
  </si>
  <si>
    <t>Date</t>
  </si>
  <si>
    <t>Author</t>
  </si>
  <si>
    <t>Reviewer</t>
  </si>
  <si>
    <t>Reference Models</t>
  </si>
  <si>
    <t>Name</t>
  </si>
  <si>
    <t>Filing point</t>
  </si>
  <si>
    <t xml:space="preserve">Author </t>
  </si>
  <si>
    <t>Notes:</t>
  </si>
  <si>
    <t>Filing Point:</t>
  </si>
  <si>
    <t>Created by:</t>
  </si>
  <si>
    <t>Patrick Sharpe</t>
  </si>
  <si>
    <t>Checked by:</t>
  </si>
  <si>
    <t>Version</t>
  </si>
  <si>
    <t>Summary of changes</t>
  </si>
  <si>
    <t>Version Author</t>
  </si>
  <si>
    <t>Version Reviewer</t>
  </si>
  <si>
    <t>1.0</t>
  </si>
  <si>
    <t>-</t>
  </si>
  <si>
    <t>Spreadsheet adapted from TM59 Version 1.5</t>
  </si>
  <si>
    <t>This worksheet is intended to assist in the interpretation and presentation of IES data produced as part of a TM52 overheating analysis. Reporting of multiple iterations of tests is supported.</t>
  </si>
  <si>
    <t>Tea Prep</t>
  </si>
  <si>
    <t>TM52 Grouping Scheme</t>
  </si>
  <si>
    <t>Assessed Spaces</t>
  </si>
  <si>
    <t>Assessed Room Groups</t>
  </si>
  <si>
    <t>Category I</t>
  </si>
  <si>
    <t>Category II</t>
  </si>
  <si>
    <t>Category III</t>
  </si>
  <si>
    <t>TM52 Room Groups</t>
  </si>
  <si>
    <t>Room Groups</t>
  </si>
  <si>
    <t>Category</t>
  </si>
  <si>
    <t>Assesed Logic</t>
  </si>
  <si>
    <t>Criterion 2</t>
  </si>
  <si>
    <t>Criterion 3</t>
  </si>
  <si>
    <t>Overheating criteria</t>
  </si>
  <si>
    <r>
      <t>Criterion 3 (T</t>
    </r>
    <r>
      <rPr>
        <b/>
        <vertAlign val="subscript"/>
        <sz val="11"/>
        <color theme="1"/>
        <rFont val="Calibri"/>
        <family val="2"/>
        <scheme val="minor"/>
      </rPr>
      <t>upp</t>
    </r>
    <r>
      <rPr>
        <b/>
        <sz val="11"/>
        <color theme="1"/>
        <rFont val="Aptos Narrow"/>
        <family val="2"/>
      </rPr>
      <t>≤</t>
    </r>
    <r>
      <rPr>
        <b/>
        <sz val="11"/>
        <color theme="1"/>
        <rFont val="Calibri"/>
        <family val="2"/>
        <scheme val="minor"/>
      </rPr>
      <t>4K)</t>
    </r>
  </si>
  <si>
    <r>
      <t>Criterion 2 (W</t>
    </r>
    <r>
      <rPr>
        <b/>
        <vertAlign val="subscript"/>
        <sz val="11"/>
        <color theme="1"/>
        <rFont val="Calibri"/>
        <family val="2"/>
        <scheme val="minor"/>
      </rPr>
      <t>e</t>
    </r>
    <r>
      <rPr>
        <b/>
        <sz val="11"/>
        <color theme="1"/>
        <rFont val="Aptos Narrow"/>
        <family val="2"/>
      </rPr>
      <t>≤</t>
    </r>
    <r>
      <rPr>
        <b/>
        <sz val="11"/>
        <color theme="1"/>
        <rFont val="Calibri"/>
        <family val="2"/>
        <scheme val="minor"/>
      </rPr>
      <t>6Kh)</t>
    </r>
  </si>
  <si>
    <r>
      <t>Criterion 1 (h</t>
    </r>
    <r>
      <rPr>
        <b/>
        <vertAlign val="subscript"/>
        <sz val="11"/>
        <color theme="1"/>
        <rFont val="Calibri"/>
        <family val="2"/>
        <scheme val="minor"/>
      </rPr>
      <t>e</t>
    </r>
    <r>
      <rPr>
        <b/>
        <sz val="11"/>
        <color theme="1"/>
        <rFont val="Calibri"/>
        <family val="2"/>
        <scheme val="minor"/>
      </rPr>
      <t>&lt;3%)</t>
    </r>
  </si>
  <si>
    <t>TM52 PASS/FAIL</t>
  </si>
  <si>
    <t>Maximum operative temperature</t>
  </si>
  <si>
    <t>Assessed Group</t>
  </si>
  <si>
    <t>Criterion 1 compliance rate (%)</t>
  </si>
  <si>
    <t>Criterion 2 compliance rate (%)</t>
  </si>
  <si>
    <t>Criterion 3 compliance rate (%)</t>
  </si>
  <si>
    <t>TM52 compliance rate (%)</t>
  </si>
  <si>
    <t>All Assessed Spaces</t>
  </si>
  <si>
    <t>Peak outdoor air temp</t>
  </si>
  <si>
    <t>Max  outdoor temperature</t>
  </si>
  <si>
    <t>Maximum outdoor air temperature</t>
  </si>
  <si>
    <t>Overheating Comfort Category</t>
  </si>
  <si>
    <r>
      <t>Criterion 1 (h</t>
    </r>
    <r>
      <rPr>
        <b/>
        <vertAlign val="subscript"/>
        <sz val="10"/>
        <color theme="0"/>
        <rFont val="Franklin Gothic Book"/>
        <family val="2"/>
      </rPr>
      <t>e</t>
    </r>
    <r>
      <rPr>
        <b/>
        <sz val="10"/>
        <color theme="0"/>
        <rFont val="Franklin Gothic Book"/>
        <family val="2"/>
      </rPr>
      <t>&lt;3%)</t>
    </r>
  </si>
  <si>
    <r>
      <t>Criterion 2 (W</t>
    </r>
    <r>
      <rPr>
        <b/>
        <vertAlign val="subscript"/>
        <sz val="10"/>
        <color theme="0"/>
        <rFont val="Franklin Gothic Book"/>
        <family val="2"/>
      </rPr>
      <t>e</t>
    </r>
    <r>
      <rPr>
        <b/>
        <sz val="10"/>
        <color theme="0"/>
        <rFont val="Franklin Gothic Book"/>
        <family val="2"/>
      </rPr>
      <t>≤6Kh)</t>
    </r>
  </si>
  <si>
    <r>
      <t>Criterion 3 (T</t>
    </r>
    <r>
      <rPr>
        <b/>
        <vertAlign val="subscript"/>
        <sz val="10"/>
        <color theme="0"/>
        <rFont val="Franklin Gothic Book"/>
        <family val="2"/>
      </rPr>
      <t>upp</t>
    </r>
    <r>
      <rPr>
        <b/>
        <sz val="10"/>
        <color theme="0"/>
        <rFont val="Franklin Gothic Book"/>
        <family val="2"/>
      </rPr>
      <t>≤4K)</t>
    </r>
  </si>
  <si>
    <t>Iterations list</t>
  </si>
  <si>
    <t>Option 1</t>
  </si>
  <si>
    <t>Iteration Name</t>
  </si>
  <si>
    <t>Plot Label</t>
  </si>
  <si>
    <t>Peak Operative Temperature</t>
  </si>
  <si>
    <t>Centiles</t>
  </si>
  <si>
    <t>Plot data</t>
  </si>
  <si>
    <t>Plot Data</t>
  </si>
  <si>
    <t>Data Column</t>
  </si>
  <si>
    <t>Data List</t>
  </si>
  <si>
    <t>Criterion I</t>
  </si>
  <si>
    <t>Criterion II</t>
  </si>
  <si>
    <t>Criterion III</t>
  </si>
  <si>
    <t>Difference</t>
  </si>
  <si>
    <t>Peak Outdoor Air Temperature</t>
  </si>
  <si>
    <t>This sheet is the location where the TM52 grouping schemes are selected.</t>
  </si>
  <si>
    <t>4. Choose the space sorting mode from the dropdown menu in cell K3.</t>
  </si>
  <si>
    <t>2. Select the TM52 grouping scheme applied in IES from the dropdown menu in cell K2.</t>
  </si>
  <si>
    <t>3. Select the TM52 room groups that correspond to the Category I, Category II, and Category III spaces from the dropdown menus in cells J7:L16.</t>
  </si>
  <si>
    <t>5. Check whether there are any duplicate names using cell F3. or trailing spaces using cell F6.</t>
  </si>
  <si>
    <t>Max temp colour code</t>
  </si>
  <si>
    <t>Fab Lab</t>
  </si>
  <si>
    <t>IES TM52 room group output sheet</t>
  </si>
  <si>
    <t>TM52 PASS/FAIL NV Criteria (Grouping Scheme) (Real)</t>
  </si>
  <si>
    <t>1.1</t>
  </si>
  <si>
    <t>Plot dynamic range fixed. Rounding included in overall percentages. Plot option included with reference line on tick marks.</t>
  </si>
  <si>
    <t>DSY3 2050</t>
  </si>
  <si>
    <r>
      <t>Maximum operative temperature (</t>
    </r>
    <r>
      <rPr>
        <b/>
        <sz val="11"/>
        <color theme="1"/>
        <rFont val="Aptos Narrow"/>
        <family val="2"/>
      </rPr>
      <t>˚</t>
    </r>
    <r>
      <rPr>
        <b/>
        <sz val="7.7"/>
        <color theme="1"/>
        <rFont val="Calibri"/>
        <family val="2"/>
      </rPr>
      <t>C)</t>
    </r>
  </si>
  <si>
    <t>Space # (Real)</t>
  </si>
  <si>
    <t>Space Name (Real)</t>
  </si>
  <si>
    <t>Space Type (Real)</t>
  </si>
  <si>
    <t>Space Sub Type (Real)</t>
  </si>
  <si>
    <t>Storey # (Real)</t>
  </si>
  <si>
    <t>Visible? (Real)</t>
  </si>
  <si>
    <t>Layer (Real)</t>
  </si>
  <si>
    <t>Inner Volume (Real)</t>
  </si>
  <si>
    <t>Min. Height (m) (Real)</t>
  </si>
  <si>
    <t>Max. Height (m) (Real)</t>
  </si>
  <si>
    <t>Volume (m³) (Real)</t>
  </si>
  <si>
    <t>Floor Area (m²) (Real)</t>
  </si>
  <si>
    <t>Floor Perimeter (m) (Real)</t>
  </si>
  <si>
    <t>Floor Lettable Area (%) (Real)</t>
  </si>
  <si>
    <t>Floor Circulation Area (%) (Real)</t>
  </si>
  <si>
    <t>Ext. Wall Area (m²) (Real)</t>
  </si>
  <si>
    <t>Ext. Opening Area (m²) (Real)</t>
  </si>
  <si>
    <t>Include in building floor area? (Real)</t>
  </si>
  <si>
    <t>Ext. Window Area (m²) (Real)</t>
  </si>
  <si>
    <t>Ext. Window Orifice Area (m²) (Real)</t>
  </si>
  <si>
    <t>Ext. Window Orifice (% Floor Area) (Real)</t>
  </si>
  <si>
    <t>Ext. Door Area (m²) (Real)</t>
  </si>
  <si>
    <t>Ext. Door Orifice Area (m²) (Real)</t>
  </si>
  <si>
    <t>Ext. Door Orifice (% Floor Area) (Real)</t>
  </si>
  <si>
    <t>Ext. Opening Orifice Area (m²) (Real)</t>
  </si>
  <si>
    <t>Ext. Opening Orifice (% Floor Area) (Real)</t>
  </si>
  <si>
    <t>Storeys (Grouping Scheme) (Real)</t>
  </si>
  <si>
    <t>DHW Zones (Grouping Scheme) (Real)</t>
  </si>
  <si>
    <t>Shading Schemes (Grouping Scheme) (Real)</t>
  </si>
  <si>
    <t>Ground Floor - Varying Char-Dimensions (Grouping Scheme) (Real)</t>
  </si>
  <si>
    <t>LEVEL (Grouping Scheme) (Real)</t>
  </si>
  <si>
    <t>SPACE TYPE (Grouping Scheme) (Real)</t>
  </si>
  <si>
    <t>SYSTEMS (Grouping Scheme) (Real)</t>
  </si>
  <si>
    <t>INCLUDE IN PART L? (Grouping Scheme) (Real)</t>
  </si>
  <si>
    <t>LIGHTING CONTROLS (Grouping Scheme) (Real)</t>
  </si>
  <si>
    <t># Bodies (Real)</t>
  </si>
  <si>
    <t># Components (Real)</t>
  </si>
  <si>
    <t># Doors (Real)</t>
  </si>
  <si>
    <t># Holes (Real)</t>
  </si>
  <si>
    <t># Windows (Real)</t>
  </si>
  <si>
    <t># Openings (Real)</t>
  </si>
  <si>
    <t># Ext. Doors (Real)</t>
  </si>
  <si>
    <t># Ext. Holes (Real)</t>
  </si>
  <si>
    <t># Ext. Windows (Real)</t>
  </si>
  <si>
    <t># Ext. Openings (Real)</t>
  </si>
  <si>
    <t>General Template (Real)</t>
  </si>
  <si>
    <t>Thermal Template (Real)</t>
  </si>
  <si>
    <t>L000002F</t>
  </si>
  <si>
    <t>L00 FAB LAB 01</t>
  </si>
  <si>
    <t>Building Space</t>
  </si>
  <si>
    <t>Room</t>
  </si>
  <si>
    <t>Yes</t>
  </si>
  <si>
    <t>Layer 01</t>
  </si>
  <si>
    <t>Off</t>
  </si>
  <si>
    <t>100 &lt;from template&gt;</t>
  </si>
  <si>
    <t>0 &lt;from template&gt;</t>
  </si>
  <si>
    <t>Yes &lt;from template&gt;</t>
  </si>
  <si>
    <t>All rooms</t>
  </si>
  <si>
    <t>Non-ApHVAC spaces</t>
  </si>
  <si>
    <t>Not in shading scheme</t>
  </si>
  <si>
    <t>Building A - Perimeter</t>
  </si>
  <si>
    <t>L00</t>
  </si>
  <si>
    <t>FAB LABS</t>
  </si>
  <si>
    <t>NONE</t>
  </si>
  <si>
    <t>NO</t>
  </si>
  <si>
    <t>Auto ON/OFF Daylight Dimming</t>
  </si>
  <si>
    <t>default</t>
  </si>
  <si>
    <t>STOREX - FAB LAB (overheating)</t>
  </si>
  <si>
    <t>L000003F</t>
  </si>
  <si>
    <t>L00 FAB LAB 02</t>
  </si>
  <si>
    <t>L0000041</t>
  </si>
  <si>
    <t>L00 FAB LAB 03</t>
  </si>
  <si>
    <t>L000002B</t>
  </si>
  <si>
    <t>L01 FAB LAB 06</t>
  </si>
  <si>
    <t>L01</t>
  </si>
  <si>
    <t>L0000044</t>
  </si>
  <si>
    <t>L01 FAB LAB 07</t>
  </si>
  <si>
    <t>L0000045</t>
  </si>
  <si>
    <t>L01 FAB LAB 08</t>
  </si>
  <si>
    <t>L000000F</t>
  </si>
  <si>
    <t>L00 FAB LAB 04</t>
  </si>
  <si>
    <t>L0000009</t>
  </si>
  <si>
    <t>L01 FAB LAB 09</t>
  </si>
  <si>
    <t>L000000E</t>
  </si>
  <si>
    <t>L01 FAB LAB 05</t>
  </si>
  <si>
    <t>Overall</t>
  </si>
  <si>
    <t>Passed:</t>
  </si>
  <si>
    <t xml:space="preserve"> 9 rooms:</t>
  </si>
  <si>
    <t>Failed:</t>
  </si>
  <si>
    <t xml:space="preserve"> 0 rooms:</t>
  </si>
  <si>
    <t>Unoccupied:</t>
  </si>
  <si>
    <t>Data:</t>
  </si>
  <si>
    <t>Building category:</t>
  </si>
  <si>
    <t>Category II (new builds.)</t>
  </si>
  <si>
    <t>Weather file:</t>
  </si>
  <si>
    <t>LHR1989_2020High50pct.epw</t>
  </si>
  <si>
    <t>Days data=</t>
  </si>
  <si>
    <t>Days (summer)=</t>
  </si>
  <si>
    <t>Data OK?</t>
  </si>
  <si>
    <t>OK</t>
  </si>
  <si>
    <t>Full summer</t>
  </si>
  <si>
    <t>Occupancy:</t>
  </si>
  <si>
    <t>Note:</t>
  </si>
  <si>
    <t>This report assesses occupied periods only. Please be aware that TM52 should be conducted for occupied and/or “available hours”.</t>
  </si>
  <si>
    <t xml:space="preserve"> </t>
  </si>
  <si>
    <t>Use of educational NCM profiles may be seen as inappropriate due to prolonged unoccupied periods during summer months.</t>
  </si>
  <si>
    <t>See Section 6.1.2 (a) of TM52 for further information.</t>
  </si>
  <si>
    <t xml:space="preserve"> Room ID</t>
  </si>
  <si>
    <t xml:space="preserve"> Occupied days (%)</t>
  </si>
  <si>
    <t xml:space="preserve"> Criteria 1 (%Hrs Top-Tmax&gt;=1K)</t>
  </si>
  <si>
    <t xml:space="preserve"> Criteria 2 (Max. Daily Deg.Hrs)</t>
  </si>
  <si>
    <t xml:space="preserve"> Criteria 3 (Max. DeltaT)</t>
  </si>
  <si>
    <t xml:space="preserve"> Criteria failing</t>
  </si>
  <si>
    <t xml:space="preserve"> L000002F</t>
  </si>
  <si>
    <t xml:space="preserve"> -</t>
  </si>
  <si>
    <t xml:space="preserve"> L000003F</t>
  </si>
  <si>
    <t xml:space="preserve"> L0000041</t>
  </si>
  <si>
    <t xml:space="preserve"> L000002B</t>
  </si>
  <si>
    <t xml:space="preserve"> L0000044</t>
  </si>
  <si>
    <t xml:space="preserve"> L0000045</t>
  </si>
  <si>
    <t xml:space="preserve"> L000000F</t>
  </si>
  <si>
    <t xml:space="preserve"> L0000009</t>
  </si>
  <si>
    <t xml:space="preserve"> L000000E</t>
  </si>
  <si>
    <t>A TM 52 2013 analysis provides an assessment of comfort compliance based on bulk air modelling</t>
  </si>
  <si>
    <t>i.e. each space is considered idealised and the air in the space perfectly mixed. The assessment does</t>
  </si>
  <si>
    <t>not assess placement of space features e.g. windows &amp; openings, airflow patterns or discomfort issues.</t>
  </si>
  <si>
    <t>The user should assess these design aspects outside of the TM52 analysis.</t>
  </si>
  <si>
    <t>Var. Name</t>
  </si>
  <si>
    <t>Location</t>
  </si>
  <si>
    <t>Filename</t>
  </si>
  <si>
    <t>Type</t>
  </si>
  <si>
    <t>Min. Val.</t>
  </si>
  <si>
    <t>Min. Time</t>
  </si>
  <si>
    <t>Max. Val.</t>
  </si>
  <si>
    <t>Max. Time</t>
  </si>
  <si>
    <t>Mean</t>
  </si>
  <si>
    <t>Dry resultant temperature</t>
  </si>
  <si>
    <t>Temperature (°C)</t>
  </si>
  <si>
    <t>06:30,01/May</t>
  </si>
  <si>
    <t>17:30,24/Jul</t>
  </si>
  <si>
    <t>07:30,01/May</t>
  </si>
  <si>
    <t>16:30,24/Jul</t>
  </si>
  <si>
    <t>Dry-bulb temperature</t>
  </si>
  <si>
    <t>06:00,31/May</t>
  </si>
  <si>
    <t>18:00,22/Jul</t>
  </si>
  <si>
    <t>LHR2003_2020High50pct.epw</t>
  </si>
  <si>
    <t>06:00,13/May</t>
  </si>
  <si>
    <t>16:00,10/Aug</t>
  </si>
  <si>
    <t>06:30,03/May</t>
  </si>
  <si>
    <t>16:30,10/Aug</t>
  </si>
  <si>
    <t>17:30,10/Aug</t>
  </si>
  <si>
    <t>07:30,03/May</t>
  </si>
  <si>
    <t>LHR1976_2020High50pct.epw</t>
  </si>
  <si>
    <t>17:30,06/Jul</t>
  </si>
  <si>
    <t>17:30,29/Jun</t>
  </si>
  <si>
    <t>16:30,06/Jul</t>
  </si>
  <si>
    <t>07:00,15/May</t>
  </si>
  <si>
    <t>16:00,27/Jun</t>
  </si>
  <si>
    <t>17:30,25/Jul</t>
  </si>
  <si>
    <t>LHR1989_2050High50pct.epw</t>
  </si>
  <si>
    <t>LHR2003_2050Med50pct.epw</t>
  </si>
  <si>
    <t>LHR1976_2050Med50pct.epw</t>
  </si>
  <si>
    <t>DSY1 2020</t>
  </si>
  <si>
    <t>DSY2 2020</t>
  </si>
  <si>
    <t>DSY3 2020</t>
  </si>
  <si>
    <t>DSY1 2050</t>
  </si>
  <si>
    <t>DSY2 2050</t>
  </si>
  <si>
    <t>DSY1 2020 blockwork light upper.aps</t>
  </si>
  <si>
    <t>17:30,22/Jul</t>
  </si>
  <si>
    <t>16:30,25/Jul</t>
  </si>
  <si>
    <t>DSY2 2020 blockwork light upper.aps</t>
  </si>
  <si>
    <t>DSY3 2020 blockwork light upper.aps</t>
  </si>
  <si>
    <t>17:30,07/Jul</t>
  </si>
  <si>
    <t>DSY1 2050 blockwork light upper.aps</t>
  </si>
  <si>
    <t>DSY2 2050 blockwork light upper.aps</t>
  </si>
  <si>
    <t>05:30,01/May</t>
  </si>
  <si>
    <t>DSY3 2050 blockwork light upper.aps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</si>
</sst>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8" x14ac:knownFonts="1">
    <font>
      <sz val="11"/>
      <color theme="1"/>
      <name val="Calibri"/>
      <family val="2"/>
      <scheme val="minor"/>
    </font>
    <font>
      <b/>
      <sz val="11"/>
      <color theme="3"/>
      <name val="Calibri"/>
      <family val="2"/>
      <scheme val="minor"/>
    </font>
    <font>
      <sz val="11"/>
      <color rgb="FF3F3F76"/>
      <name val="Calibri"/>
      <family val="2"/>
      <scheme val="minor"/>
    </font>
    <font>
      <i/>
      <sz val="11"/>
      <color rgb="FF7F7F7F"/>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1"/>
      <color rgb="FFFA7D00"/>
      <name val="Calibri"/>
      <family val="2"/>
      <scheme val="minor"/>
    </font>
    <font>
      <sz val="8"/>
      <name val="Calibri"/>
      <family val="2"/>
      <scheme val="minor"/>
    </font>
    <font>
      <b/>
      <sz val="11"/>
      <color theme="1"/>
      <name val="Calibri"/>
      <family val="2"/>
    </font>
    <font>
      <b/>
      <sz val="13"/>
      <color theme="3"/>
      <name val="Calibri"/>
      <family val="2"/>
      <scheme val="minor"/>
    </font>
    <font>
      <sz val="11"/>
      <color rgb="FFFF5A5A"/>
      <name val="Calibri"/>
      <family val="2"/>
      <scheme val="minor"/>
    </font>
    <font>
      <sz val="10"/>
      <color theme="1"/>
      <name val="Franklin Gothic Book"/>
      <family val="2"/>
    </font>
    <font>
      <b/>
      <sz val="10"/>
      <color theme="1"/>
      <name val="Franklin Gothic Book"/>
      <family val="2"/>
    </font>
    <font>
      <b/>
      <sz val="10"/>
      <color theme="0"/>
      <name val="Franklin Gothic Book"/>
      <family val="2"/>
    </font>
    <font>
      <sz val="10"/>
      <color rgb="FF58A618"/>
      <name val="Franklin Gothic Book"/>
      <family val="2"/>
    </font>
    <font>
      <sz val="20"/>
      <color theme="1"/>
      <name val="Franklin Gothic Book"/>
      <family val="2"/>
    </font>
    <font>
      <b/>
      <sz val="10"/>
      <color rgb="FF58A618"/>
      <name val="Franklin Gothic Book"/>
      <family val="2"/>
    </font>
    <font>
      <sz val="10"/>
      <name val="Arial"/>
      <family val="2"/>
    </font>
    <font>
      <b/>
      <sz val="18"/>
      <name val="Franklin Gothic Book"/>
      <family val="2"/>
    </font>
    <font>
      <sz val="10"/>
      <name val="Franklin Gothic Book"/>
      <family val="2"/>
    </font>
    <font>
      <sz val="12"/>
      <name val="Franklin Gothic Book"/>
      <family val="2"/>
    </font>
    <font>
      <i/>
      <sz val="12"/>
      <name val="Franklin Gothic Book"/>
      <family val="2"/>
    </font>
    <font>
      <i/>
      <sz val="10"/>
      <name val="Franklin Gothic Book"/>
      <family val="2"/>
    </font>
    <font>
      <b/>
      <u/>
      <sz val="11"/>
      <color rgb="FF000000"/>
      <name val="Franklin Gothic Book"/>
      <family val="2"/>
    </font>
    <font>
      <u/>
      <sz val="11"/>
      <color theme="10"/>
      <name val="Calibri"/>
      <family val="2"/>
      <scheme val="minor"/>
    </font>
    <font>
      <u/>
      <sz val="11"/>
      <color theme="10"/>
      <name val="Franklin Gothic Book"/>
      <family val="2"/>
    </font>
    <font>
      <sz val="11"/>
      <color theme="1"/>
      <name val="Franklin Gothic Book"/>
      <family val="2"/>
    </font>
    <font>
      <u/>
      <sz val="10"/>
      <color indexed="12"/>
      <name val="Arial"/>
      <family val="2"/>
    </font>
    <font>
      <u/>
      <sz val="10"/>
      <color indexed="12"/>
      <name val="Franklin Gothic Book"/>
      <family val="2"/>
    </font>
    <font>
      <sz val="8"/>
      <name val="Franklin Gothic Book"/>
      <family val="2"/>
    </font>
    <font>
      <sz val="11"/>
      <color rgb="FF9C5700"/>
      <name val="Calibri"/>
      <family val="2"/>
      <scheme val="minor"/>
    </font>
    <font>
      <sz val="11"/>
      <color theme="0"/>
      <name val="Calibri"/>
      <family val="2"/>
      <scheme val="minor"/>
    </font>
    <font>
      <b/>
      <sz val="11"/>
      <color theme="1"/>
      <name val="Aptos Narrow"/>
      <family val="2"/>
    </font>
    <font>
      <b/>
      <vertAlign val="subscript"/>
      <sz val="11"/>
      <color theme="1"/>
      <name val="Calibri"/>
      <family val="2"/>
      <scheme val="minor"/>
    </font>
    <font>
      <b/>
      <vertAlign val="subscript"/>
      <sz val="10"/>
      <color theme="0"/>
      <name val="Franklin Gothic Book"/>
      <family val="2"/>
    </font>
    <font>
      <sz val="11"/>
      <color rgb="FFFA7D00"/>
      <name val="Calibri"/>
      <family val="2"/>
      <scheme val="minor"/>
    </font>
    <font>
      <b/>
      <sz val="7.7"/>
      <color theme="1"/>
      <name val="Calibri"/>
      <family val="2"/>
    </font>
  </fonts>
  <fills count="27">
    <fill>
      <patternFill patternType="none"/>
    </fill>
    <fill>
      <patternFill patternType="gray125"/>
    </fill>
    <fill>
      <patternFill patternType="solid">
        <fgColor rgb="FFFFCC99"/>
      </patternFill>
    </fill>
    <fill>
      <patternFill patternType="solid">
        <fgColor rgb="FFF2F2F2"/>
      </patternFill>
    </fill>
    <fill>
      <patternFill patternType="solid">
        <fgColor theme="4"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00E600"/>
        <bgColor indexed="64"/>
      </patternFill>
    </fill>
    <fill>
      <patternFill patternType="solid">
        <fgColor rgb="FF00FF00"/>
        <bgColor indexed="64"/>
      </patternFill>
    </fill>
    <fill>
      <patternFill patternType="solid">
        <fgColor rgb="FFFF0000"/>
        <bgColor indexed="64"/>
      </patternFill>
    </fill>
    <fill>
      <patternFill patternType="solid">
        <fgColor rgb="FFE60000"/>
        <bgColor indexed="64"/>
      </patternFill>
    </fill>
    <fill>
      <patternFill patternType="solid">
        <fgColor rgb="FFC83232"/>
        <bgColor indexed="64"/>
      </patternFill>
    </fill>
    <fill>
      <patternFill patternType="solid">
        <fgColor rgb="FFAF0000"/>
        <bgColor indexed="64"/>
      </patternFill>
    </fill>
    <fill>
      <patternFill patternType="solid">
        <fgColor rgb="FF960000"/>
        <bgColor indexed="64"/>
      </patternFill>
    </fill>
    <fill>
      <patternFill patternType="solid">
        <fgColor rgb="FF7D0000"/>
        <bgColor indexed="64"/>
      </patternFill>
    </fill>
    <fill>
      <patternFill patternType="solid">
        <fgColor rgb="FF00C800"/>
        <bgColor indexed="64"/>
      </patternFill>
    </fill>
    <fill>
      <patternFill patternType="solid">
        <fgColor rgb="FF64FF00"/>
        <bgColor indexed="64"/>
      </patternFill>
    </fill>
    <fill>
      <patternFill patternType="solid">
        <fgColor rgb="FF96FF00"/>
        <bgColor indexed="64"/>
      </patternFill>
    </fill>
    <fill>
      <patternFill patternType="solid">
        <fgColor rgb="FFC8FF00"/>
        <bgColor indexed="64"/>
      </patternFill>
    </fill>
    <fill>
      <patternFill patternType="solid">
        <fgColor rgb="FFF0FF00"/>
        <bgColor indexed="64"/>
      </patternFill>
    </fill>
    <fill>
      <patternFill patternType="solid">
        <fgColor rgb="FFFFFF00"/>
        <bgColor indexed="64"/>
      </patternFill>
    </fill>
    <fill>
      <patternFill patternType="solid">
        <fgColor rgb="FFFFF000"/>
        <bgColor indexed="64"/>
      </patternFill>
    </fill>
    <fill>
      <patternFill patternType="solid">
        <fgColor rgb="FFFFC800"/>
        <bgColor indexed="64"/>
      </patternFill>
    </fill>
    <fill>
      <patternFill patternType="solid">
        <fgColor rgb="FFFF9664"/>
        <bgColor indexed="64"/>
      </patternFill>
    </fill>
    <fill>
      <patternFill patternType="solid">
        <fgColor rgb="FFFF3200"/>
        <bgColor indexed="64"/>
      </patternFill>
    </fill>
    <fill>
      <patternFill patternType="solid">
        <fgColor rgb="FF58A618"/>
        <bgColor indexed="64"/>
      </patternFill>
    </fill>
    <fill>
      <patternFill patternType="solid">
        <fgColor rgb="FFFFEB9C"/>
      </patternFill>
    </fill>
  </fills>
  <borders count="51">
    <border>
      <left/>
      <right/>
      <top/>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theme="4" tint="0.39997558519241921"/>
      </bottom>
      <diagonal/>
    </border>
    <border>
      <left style="medium">
        <color indexed="64"/>
      </left>
      <right style="medium">
        <color indexed="64"/>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thin">
        <color rgb="FF7F7F7F"/>
      </left>
      <right style="thin">
        <color rgb="FF7F7F7F"/>
      </right>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theme="4" tint="0.39997558519241921"/>
      </bottom>
      <diagonal/>
    </border>
    <border>
      <left style="medium">
        <color indexed="64"/>
      </left>
      <right style="medium">
        <color indexed="64"/>
      </right>
      <top style="medium">
        <color theme="4" tint="0.39997558519241921"/>
      </top>
      <bottom/>
      <diagonal/>
    </border>
    <border>
      <left/>
      <right/>
      <top/>
      <bottom style="thick">
        <color theme="4" tint="0.499984740745262"/>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medium">
        <color indexed="64"/>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theme="4" tint="0.39997558519241921"/>
      </bottom>
      <diagonal/>
    </border>
    <border>
      <left/>
      <right style="medium">
        <color indexed="64"/>
      </right>
      <top style="medium">
        <color indexed="64"/>
      </top>
      <bottom style="medium">
        <color theme="4" tint="0.39997558519241921"/>
      </bottom>
      <diagonal/>
    </border>
    <border>
      <left/>
      <right/>
      <top style="medium">
        <color theme="4" tint="0.39997558519241921"/>
      </top>
      <bottom/>
      <diagonal/>
    </border>
    <border>
      <left/>
      <right style="medium">
        <color indexed="64"/>
      </right>
      <top style="medium">
        <color theme="4" tint="0.39997558519241921"/>
      </top>
      <bottom/>
      <diagonal/>
    </border>
    <border>
      <left/>
      <right style="medium">
        <color indexed="64"/>
      </right>
      <top/>
      <bottom style="medium">
        <color theme="4" tint="0.39997558519241921"/>
      </bottom>
      <diagonal/>
    </border>
    <border>
      <left style="medium">
        <color indexed="64"/>
      </left>
      <right style="medium">
        <color indexed="64"/>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right/>
      <top/>
      <bottom style="double">
        <color rgb="FFFF8001"/>
      </bottom>
      <diagonal/>
    </border>
    <border>
      <left style="thin">
        <color rgb="FF7F7F7F"/>
      </left>
      <right/>
      <top/>
      <bottom/>
      <diagonal/>
    </border>
  </borders>
  <cellStyleXfs count="14">
    <xf numFmtId="0" fontId="0" fillId="0" borderId="0"/>
    <xf numFmtId="0" fontId="1" fillId="0" borderId="1" applyNumberFormat="0" applyFill="0" applyAlignment="0" applyProtection="0"/>
    <xf numFmtId="0" fontId="2" fillId="2" borderId="2" applyNumberFormat="0" applyAlignment="0" applyProtection="0"/>
    <xf numFmtId="0" fontId="3" fillId="0" borderId="0" applyNumberFormat="0" applyFill="0" applyBorder="0" applyAlignment="0" applyProtection="0"/>
    <xf numFmtId="9" fontId="5" fillId="0" borderId="0" applyFont="0" applyFill="0" applyBorder="0" applyAlignment="0" applyProtection="0"/>
    <xf numFmtId="0" fontId="6" fillId="0" borderId="6" applyNumberFormat="0" applyFill="0" applyAlignment="0" applyProtection="0"/>
    <xf numFmtId="0" fontId="7" fillId="3" borderId="2" applyNumberFormat="0" applyAlignment="0" applyProtection="0"/>
    <xf numFmtId="0" fontId="10" fillId="0" borderId="18" applyNumberFormat="0" applyFill="0" applyAlignment="0" applyProtection="0"/>
    <xf numFmtId="0" fontId="1" fillId="0" borderId="0" applyNumberFormat="0" applyFill="0" applyBorder="0" applyAlignment="0" applyProtection="0"/>
    <xf numFmtId="0" fontId="18" fillId="0" borderId="0"/>
    <xf numFmtId="0" fontId="25" fillId="0" borderId="0" applyNumberFormat="0" applyFill="0" applyBorder="0" applyAlignment="0" applyProtection="0"/>
    <xf numFmtId="0" fontId="28" fillId="0" borderId="0" applyNumberFormat="0" applyFill="0" applyBorder="0" applyAlignment="0" applyProtection="0">
      <alignment vertical="top"/>
      <protection locked="0"/>
    </xf>
    <xf numFmtId="0" fontId="31" fillId="26" borderId="0" applyNumberFormat="0" applyBorder="0" applyAlignment="0" applyProtection="0"/>
    <xf numFmtId="0" fontId="36" fillId="0" borderId="49" applyNumberFormat="0" applyFill="0" applyAlignment="0" applyProtection="0"/>
  </cellStyleXfs>
  <cellXfs count="279">
    <xf numFmtId="0" fontId="0" fillId="0" borderId="0" xfId="0"/>
    <xf numFmtId="0" fontId="4" fillId="0" borderId="0" xfId="0" applyFont="1"/>
    <xf numFmtId="0" fontId="2" fillId="2" borderId="2" xfId="2"/>
    <xf numFmtId="16" fontId="0" fillId="0" borderId="0" xfId="0" applyNumberFormat="1"/>
    <xf numFmtId="0" fontId="3" fillId="0" borderId="3" xfId="3" applyBorder="1" applyAlignment="1">
      <alignment wrapText="1"/>
    </xf>
    <xf numFmtId="0" fontId="1" fillId="0" borderId="4" xfId="1" applyBorder="1"/>
    <xf numFmtId="0" fontId="1" fillId="0" borderId="0" xfId="1" applyBorder="1"/>
    <xf numFmtId="0" fontId="3" fillId="0" borderId="0" xfId="3" applyBorder="1" applyAlignment="1">
      <alignment wrapText="1"/>
    </xf>
    <xf numFmtId="0" fontId="3" fillId="0" borderId="5" xfId="3" applyBorder="1" applyAlignment="1">
      <alignment wrapText="1"/>
    </xf>
    <xf numFmtId="9" fontId="0" fillId="0" borderId="0" xfId="4" applyFont="1"/>
    <xf numFmtId="0" fontId="0" fillId="0" borderId="7" xfId="0" applyBorder="1"/>
    <xf numFmtId="0" fontId="0" fillId="0" borderId="9" xfId="0" applyBorder="1"/>
    <xf numFmtId="0" fontId="0" fillId="0" borderId="11" xfId="0" applyBorder="1"/>
    <xf numFmtId="0" fontId="0" fillId="0" borderId="10" xfId="0" applyBorder="1"/>
    <xf numFmtId="0" fontId="4" fillId="0" borderId="11" xfId="0" applyFont="1" applyBorder="1"/>
    <xf numFmtId="0" fontId="4" fillId="0" borderId="10" xfId="0" applyFont="1" applyBorder="1"/>
    <xf numFmtId="0" fontId="0" fillId="5" borderId="0" xfId="0" applyFill="1"/>
    <xf numFmtId="9" fontId="4" fillId="0" borderId="0" xfId="4" applyFont="1"/>
    <xf numFmtId="9" fontId="7" fillId="3" borderId="2" xfId="4" applyFont="1" applyFill="1" applyBorder="1"/>
    <xf numFmtId="9" fontId="2" fillId="2" borderId="12" xfId="4" applyFont="1" applyFill="1" applyBorder="1"/>
    <xf numFmtId="9" fontId="4" fillId="4" borderId="13" xfId="4" applyFont="1" applyFill="1" applyBorder="1"/>
    <xf numFmtId="9" fontId="0" fillId="4" borderId="14" xfId="4" applyFont="1" applyFill="1" applyBorder="1"/>
    <xf numFmtId="9" fontId="0" fillId="4" borderId="15" xfId="4" applyFont="1" applyFill="1" applyBorder="1"/>
    <xf numFmtId="9" fontId="3" fillId="0" borderId="0" xfId="3" applyNumberFormat="1"/>
    <xf numFmtId="9" fontId="1" fillId="0" borderId="4" xfId="1" applyNumberFormat="1" applyBorder="1"/>
    <xf numFmtId="9" fontId="1" fillId="0" borderId="16" xfId="1" applyNumberFormat="1" applyBorder="1" applyAlignment="1">
      <alignment vertical="top" wrapText="1"/>
    </xf>
    <xf numFmtId="0" fontId="3" fillId="0" borderId="0" xfId="3"/>
    <xf numFmtId="0" fontId="0" fillId="0" borderId="0" xfId="0" applyProtection="1">
      <protection locked="0"/>
    </xf>
    <xf numFmtId="0" fontId="3" fillId="0" borderId="5" xfId="3" applyBorder="1"/>
    <xf numFmtId="0" fontId="1" fillId="0" borderId="16" xfId="1" applyBorder="1"/>
    <xf numFmtId="0" fontId="4" fillId="0" borderId="19" xfId="0" applyFont="1" applyBorder="1"/>
    <xf numFmtId="0" fontId="7" fillId="3" borderId="20" xfId="6" applyBorder="1"/>
    <xf numFmtId="0" fontId="1" fillId="0" borderId="4" xfId="1" applyBorder="1" applyProtection="1"/>
    <xf numFmtId="0" fontId="1" fillId="0" borderId="16" xfId="1" applyBorder="1" applyAlignment="1" applyProtection="1">
      <alignment wrapText="1"/>
      <protection locked="0"/>
    </xf>
    <xf numFmtId="0" fontId="1" fillId="0" borderId="16" xfId="1" applyBorder="1" applyProtection="1">
      <protection locked="0"/>
    </xf>
    <xf numFmtId="0" fontId="10" fillId="0" borderId="0" xfId="7" applyBorder="1" applyAlignment="1">
      <alignment wrapText="1"/>
    </xf>
    <xf numFmtId="0" fontId="0" fillId="0" borderId="0" xfId="0" applyAlignment="1">
      <alignment horizontal="right"/>
    </xf>
    <xf numFmtId="9" fontId="3" fillId="0" borderId="0" xfId="3" applyNumberFormat="1" applyAlignment="1">
      <alignment wrapText="1"/>
    </xf>
    <xf numFmtId="9" fontId="5" fillId="0" borderId="0" xfId="4" applyFont="1"/>
    <xf numFmtId="49" fontId="2" fillId="2" borderId="2" xfId="2" applyNumberFormat="1"/>
    <xf numFmtId="49" fontId="0" fillId="0" borderId="0" xfId="0" applyNumberFormat="1"/>
    <xf numFmtId="0" fontId="3" fillId="0" borderId="5" xfId="3" applyBorder="1" applyAlignment="1" applyProtection="1">
      <alignment vertical="top" wrapText="1"/>
      <protection locked="0"/>
    </xf>
    <xf numFmtId="0" fontId="12" fillId="0" borderId="0" xfId="0" applyFont="1"/>
    <xf numFmtId="0" fontId="13" fillId="0" borderId="0" xfId="0" applyFont="1"/>
    <xf numFmtId="164" fontId="12" fillId="0" borderId="0" xfId="0" applyNumberFormat="1" applyFont="1" applyAlignment="1">
      <alignment horizontal="center" vertical="center" wrapText="1"/>
    </xf>
    <xf numFmtId="164" fontId="14" fillId="25" borderId="0" xfId="0" applyNumberFormat="1" applyFont="1" applyFill="1" applyAlignment="1">
      <alignment horizontal="center" vertical="center" wrapText="1"/>
    </xf>
    <xf numFmtId="164" fontId="12" fillId="0" borderId="0" xfId="0" applyNumberFormat="1" applyFont="1" applyAlignment="1">
      <alignment vertical="center" wrapText="1"/>
    </xf>
    <xf numFmtId="164" fontId="12" fillId="0" borderId="0" xfId="0" applyNumberFormat="1" applyFont="1"/>
    <xf numFmtId="164" fontId="14" fillId="25" borderId="0" xfId="0" applyNumberFormat="1" applyFont="1" applyFill="1" applyAlignment="1">
      <alignment vertical="center" wrapText="1"/>
    </xf>
    <xf numFmtId="164" fontId="15" fillId="0" borderId="0" xfId="0" applyNumberFormat="1" applyFont="1"/>
    <xf numFmtId="164" fontId="17" fillId="0" borderId="0" xfId="0" applyNumberFormat="1" applyFont="1" applyAlignment="1">
      <alignment horizontal="center" vertical="center" wrapText="1"/>
    </xf>
    <xf numFmtId="164" fontId="16" fillId="0" borderId="0" xfId="0" applyNumberFormat="1" applyFont="1" applyAlignment="1">
      <alignment wrapText="1"/>
    </xf>
    <xf numFmtId="0" fontId="0" fillId="0" borderId="0" xfId="0" applyAlignment="1">
      <alignment horizontal="center"/>
    </xf>
    <xf numFmtId="0" fontId="19" fillId="0" borderId="0" xfId="9" applyFont="1"/>
    <xf numFmtId="0" fontId="20" fillId="0" borderId="0" xfId="9" applyFont="1"/>
    <xf numFmtId="0" fontId="20" fillId="0" borderId="0" xfId="9" applyFont="1" applyAlignment="1">
      <alignment horizontal="center"/>
    </xf>
    <xf numFmtId="0" fontId="21" fillId="0" borderId="0" xfId="9" applyFont="1"/>
    <xf numFmtId="0" fontId="22" fillId="0" borderId="0" xfId="9" applyFont="1" applyAlignment="1">
      <alignment horizontal="right"/>
    </xf>
    <xf numFmtId="0" fontId="21" fillId="0" borderId="0" xfId="9" quotePrefix="1" applyFont="1" applyAlignment="1">
      <alignment horizontal="left"/>
    </xf>
    <xf numFmtId="0" fontId="21" fillId="0" borderId="0" xfId="9" applyFont="1" applyAlignment="1">
      <alignment horizontal="center"/>
    </xf>
    <xf numFmtId="0" fontId="21" fillId="0" borderId="0" xfId="9" applyFont="1" applyAlignment="1">
      <alignment horizontal="right"/>
    </xf>
    <xf numFmtId="0" fontId="21" fillId="0" borderId="32" xfId="9" applyFont="1" applyBorder="1" applyAlignment="1">
      <alignment horizontal="center"/>
    </xf>
    <xf numFmtId="0" fontId="21" fillId="0" borderId="32" xfId="9" applyFont="1" applyBorder="1"/>
    <xf numFmtId="0" fontId="21" fillId="0" borderId="33" xfId="9" applyFont="1" applyBorder="1" applyAlignment="1">
      <alignment vertical="top"/>
    </xf>
    <xf numFmtId="0" fontId="20" fillId="0" borderId="34" xfId="9" applyFont="1" applyBorder="1" applyAlignment="1">
      <alignment wrapText="1"/>
    </xf>
    <xf numFmtId="0" fontId="20" fillId="0" borderId="35" xfId="9" applyFont="1" applyBorder="1" applyAlignment="1">
      <alignment wrapText="1"/>
    </xf>
    <xf numFmtId="0" fontId="20" fillId="0" borderId="36" xfId="9" applyFont="1" applyBorder="1" applyAlignment="1">
      <alignment wrapText="1"/>
    </xf>
    <xf numFmtId="0" fontId="20" fillId="0" borderId="37" xfId="9" applyFont="1" applyBorder="1" applyAlignment="1">
      <alignment wrapText="1"/>
    </xf>
    <xf numFmtId="0" fontId="20" fillId="0" borderId="38" xfId="9" applyFont="1" applyBorder="1" applyAlignment="1">
      <alignment wrapText="1"/>
    </xf>
    <xf numFmtId="0" fontId="20" fillId="0" borderId="0" xfId="9" applyFont="1" applyAlignment="1">
      <alignment horizontal="right"/>
    </xf>
    <xf numFmtId="0" fontId="21" fillId="0" borderId="0" xfId="9" applyFont="1" applyAlignment="1">
      <alignment horizontal="left"/>
    </xf>
    <xf numFmtId="0" fontId="21" fillId="0" borderId="32" xfId="9" applyFont="1" applyBorder="1" applyAlignment="1">
      <alignment horizontal="left"/>
    </xf>
    <xf numFmtId="0" fontId="21" fillId="0" borderId="0" xfId="9" applyFont="1" applyAlignment="1">
      <alignment vertical="top"/>
    </xf>
    <xf numFmtId="0" fontId="21" fillId="0" borderId="44" xfId="9" applyFont="1" applyBorder="1" applyAlignment="1">
      <alignment horizontal="left"/>
    </xf>
    <xf numFmtId="14" fontId="21" fillId="0" borderId="32" xfId="9" applyNumberFormat="1" applyFont="1" applyBorder="1" applyAlignment="1">
      <alignment horizontal="left"/>
    </xf>
    <xf numFmtId="0" fontId="23" fillId="0" borderId="0" xfId="9" applyFont="1"/>
    <xf numFmtId="0" fontId="23" fillId="0" borderId="37" xfId="9" applyFont="1" applyBorder="1"/>
    <xf numFmtId="0" fontId="23" fillId="0" borderId="34" xfId="9" applyFont="1" applyBorder="1" applyAlignment="1">
      <alignment horizontal="right"/>
    </xf>
    <xf numFmtId="0" fontId="23" fillId="0" borderId="33" xfId="9" applyFont="1" applyBorder="1"/>
    <xf numFmtId="0" fontId="20" fillId="0" borderId="34" xfId="9" applyFont="1" applyBorder="1"/>
    <xf numFmtId="0" fontId="23" fillId="0" borderId="34" xfId="9" applyFont="1" applyBorder="1"/>
    <xf numFmtId="0" fontId="23" fillId="0" borderId="45" xfId="9" applyFont="1" applyBorder="1"/>
    <xf numFmtId="0" fontId="20" fillId="0" borderId="37" xfId="9" applyFont="1" applyBorder="1" applyAlignment="1">
      <alignment horizontal="right"/>
    </xf>
    <xf numFmtId="0" fontId="20" fillId="0" borderId="36" xfId="9" applyFont="1" applyBorder="1"/>
    <xf numFmtId="0" fontId="20" fillId="0" borderId="37" xfId="9" applyFont="1" applyBorder="1"/>
    <xf numFmtId="0" fontId="23" fillId="0" borderId="36" xfId="9" applyFont="1" applyBorder="1"/>
    <xf numFmtId="0" fontId="20" fillId="0" borderId="44" xfId="9" applyFont="1" applyBorder="1"/>
    <xf numFmtId="0" fontId="20" fillId="0" borderId="45" xfId="9" applyFont="1" applyBorder="1" applyAlignment="1">
      <alignment horizontal="right"/>
    </xf>
    <xf numFmtId="0" fontId="20" fillId="0" borderId="35" xfId="9" applyFont="1" applyBorder="1" applyAlignment="1">
      <alignment horizontal="center"/>
    </xf>
    <xf numFmtId="17" fontId="20" fillId="0" borderId="35" xfId="9" applyNumberFormat="1" applyFont="1" applyBorder="1" applyAlignment="1">
      <alignment horizontal="left"/>
    </xf>
    <xf numFmtId="0" fontId="20" fillId="0" borderId="46" xfId="9" applyFont="1" applyBorder="1" applyAlignment="1">
      <alignment horizontal="right"/>
    </xf>
    <xf numFmtId="0" fontId="20" fillId="0" borderId="0" xfId="9" applyFont="1" applyAlignment="1">
      <alignment horizontal="left" vertical="top"/>
    </xf>
    <xf numFmtId="0" fontId="20" fillId="0" borderId="43" xfId="9" applyFont="1" applyBorder="1" applyAlignment="1">
      <alignment horizontal="left" vertical="top"/>
    </xf>
    <xf numFmtId="0" fontId="20" fillId="0" borderId="43" xfId="9" applyFont="1" applyBorder="1" applyAlignment="1">
      <alignment horizontal="center"/>
    </xf>
    <xf numFmtId="14" fontId="20" fillId="0" borderId="43" xfId="9" applyNumberFormat="1" applyFont="1" applyBorder="1" applyAlignment="1">
      <alignment horizontal="left"/>
    </xf>
    <xf numFmtId="0" fontId="20" fillId="0" borderId="0" xfId="9" applyFont="1" applyAlignment="1">
      <alignment vertical="top"/>
    </xf>
    <xf numFmtId="0" fontId="20" fillId="0" borderId="43" xfId="9" applyFont="1" applyBorder="1" applyAlignment="1">
      <alignment vertical="top"/>
    </xf>
    <xf numFmtId="0" fontId="20" fillId="0" borderId="43" xfId="9" applyFont="1" applyBorder="1" applyAlignment="1">
      <alignment horizontal="right"/>
    </xf>
    <xf numFmtId="0" fontId="20" fillId="0" borderId="32" xfId="9" applyFont="1" applyBorder="1" applyAlignment="1">
      <alignment horizontal="right"/>
    </xf>
    <xf numFmtId="0" fontId="20" fillId="0" borderId="40" xfId="9" applyFont="1" applyBorder="1" applyAlignment="1">
      <alignment vertical="top"/>
    </xf>
    <xf numFmtId="0" fontId="20" fillId="0" borderId="41" xfId="9" applyFont="1" applyBorder="1" applyAlignment="1">
      <alignment vertical="top"/>
    </xf>
    <xf numFmtId="0" fontId="20" fillId="0" borderId="41" xfId="9" applyFont="1" applyBorder="1" applyAlignment="1">
      <alignment horizontal="center"/>
    </xf>
    <xf numFmtId="14" fontId="20" fillId="0" borderId="41" xfId="9" applyNumberFormat="1" applyFont="1" applyBorder="1" applyAlignment="1">
      <alignment horizontal="left"/>
    </xf>
    <xf numFmtId="0" fontId="20" fillId="0" borderId="0" xfId="9" applyFont="1" applyAlignment="1">
      <alignment horizontal="right" vertical="center" wrapText="1"/>
    </xf>
    <xf numFmtId="0" fontId="20" fillId="0" borderId="0" xfId="9" applyFont="1" applyAlignment="1">
      <alignment horizontal="center" vertical="center" wrapText="1"/>
    </xf>
    <xf numFmtId="17" fontId="20" fillId="0" borderId="0" xfId="9" applyNumberFormat="1" applyFont="1" applyAlignment="1">
      <alignment horizontal="left" wrapText="1"/>
    </xf>
    <xf numFmtId="0" fontId="20" fillId="0" borderId="0" xfId="9" applyFont="1" applyAlignment="1">
      <alignment horizontal="left" wrapText="1"/>
    </xf>
    <xf numFmtId="0" fontId="24" fillId="0" borderId="0" xfId="0" applyFont="1" applyAlignment="1">
      <alignment horizontal="left" vertical="center"/>
    </xf>
    <xf numFmtId="0" fontId="23" fillId="0" borderId="40" xfId="9" applyFont="1" applyBorder="1" applyAlignment="1">
      <alignment horizontal="right"/>
    </xf>
    <xf numFmtId="0" fontId="23" fillId="0" borderId="39" xfId="9" applyFont="1" applyBorder="1"/>
    <xf numFmtId="0" fontId="20" fillId="0" borderId="40" xfId="9" applyFont="1" applyBorder="1"/>
    <xf numFmtId="0" fontId="23" fillId="0" borderId="40" xfId="9" applyFont="1" applyBorder="1"/>
    <xf numFmtId="0" fontId="23" fillId="0" borderId="41" xfId="9" applyFont="1" applyBorder="1"/>
    <xf numFmtId="0" fontId="23" fillId="0" borderId="32" xfId="9" applyFont="1" applyBorder="1"/>
    <xf numFmtId="0" fontId="26" fillId="0" borderId="0" xfId="10" applyFont="1" applyAlignment="1">
      <alignment horizontal="left" vertical="center"/>
    </xf>
    <xf numFmtId="0" fontId="23" fillId="0" borderId="39" xfId="9" applyFont="1" applyBorder="1" applyAlignment="1">
      <alignment horizontal="right" vertical="center" wrapText="1"/>
    </xf>
    <xf numFmtId="0" fontId="20" fillId="0" borderId="39" xfId="9" applyFont="1" applyBorder="1" applyAlignment="1">
      <alignment horizontal="left" vertical="center" wrapText="1"/>
    </xf>
    <xf numFmtId="17" fontId="20" fillId="0" borderId="39" xfId="9" applyNumberFormat="1" applyFont="1" applyBorder="1" applyAlignment="1">
      <alignment horizontal="left" vertical="center" wrapText="1"/>
    </xf>
    <xf numFmtId="14" fontId="20" fillId="0" borderId="44" xfId="9" applyNumberFormat="1" applyFont="1" applyBorder="1" applyAlignment="1">
      <alignment horizontal="left" vertical="center"/>
    </xf>
    <xf numFmtId="0" fontId="27" fillId="0" borderId="0" xfId="0" applyFont="1"/>
    <xf numFmtId="0" fontId="20" fillId="0" borderId="0" xfId="9" applyFont="1" applyAlignment="1">
      <alignment horizontal="center" vertical="top"/>
    </xf>
    <xf numFmtId="14" fontId="20" fillId="0" borderId="0" xfId="9" applyNumberFormat="1" applyFont="1" applyAlignment="1">
      <alignment horizontal="left"/>
    </xf>
    <xf numFmtId="0" fontId="20" fillId="0" borderId="0" xfId="9" applyFont="1" applyAlignment="1">
      <alignment horizontal="right" vertical="center"/>
    </xf>
    <xf numFmtId="0" fontId="23" fillId="0" borderId="0" xfId="9" applyFont="1" applyAlignment="1">
      <alignment vertical="center" wrapText="1"/>
    </xf>
    <xf numFmtId="0" fontId="29" fillId="0" borderId="0" xfId="11" applyFont="1" applyBorder="1" applyAlignment="1" applyProtection="1"/>
    <xf numFmtId="0" fontId="30" fillId="0" borderId="0" xfId="9" applyFont="1" applyAlignment="1">
      <alignment vertical="top"/>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Alignment="1">
      <alignment horizontal="center" vertical="center"/>
    </xf>
    <xf numFmtId="49" fontId="1" fillId="0" borderId="0" xfId="8" applyNumberFormat="1" applyAlignment="1">
      <alignment horizontal="left"/>
    </xf>
    <xf numFmtId="0" fontId="0" fillId="0" borderId="32" xfId="0" applyBorder="1" applyAlignment="1">
      <alignment horizontal="center"/>
    </xf>
    <xf numFmtId="14" fontId="0" fillId="0" borderId="32" xfId="0" applyNumberFormat="1" applyBorder="1" applyAlignment="1">
      <alignment horizontal="center"/>
    </xf>
    <xf numFmtId="49" fontId="1" fillId="0" borderId="0" xfId="8" applyNumberFormat="1" applyAlignment="1">
      <alignment horizontal="center" vertical="center"/>
    </xf>
    <xf numFmtId="0" fontId="1" fillId="0" borderId="0" xfId="8" applyAlignment="1">
      <alignment horizontal="center" vertical="center"/>
    </xf>
    <xf numFmtId="49" fontId="3" fillId="0" borderId="0" xfId="3" applyNumberFormat="1" applyBorder="1" applyAlignment="1">
      <alignment horizontal="center" vertical="center"/>
    </xf>
    <xf numFmtId="0" fontId="3" fillId="0" borderId="0" xfId="3" applyBorder="1" applyAlignment="1">
      <alignment horizontal="left" vertical="center" wrapText="1"/>
    </xf>
    <xf numFmtId="0" fontId="3" fillId="0" borderId="0" xfId="3" applyBorder="1" applyAlignment="1">
      <alignment horizontal="center" vertical="center"/>
    </xf>
    <xf numFmtId="14" fontId="3" fillId="0" borderId="0" xfId="3" applyNumberFormat="1" applyBorder="1" applyAlignment="1">
      <alignment horizontal="center" vertical="center"/>
    </xf>
    <xf numFmtId="49" fontId="3" fillId="0" borderId="0" xfId="3" applyNumberFormat="1" applyAlignment="1">
      <alignment horizontal="center" vertical="center"/>
    </xf>
    <xf numFmtId="0" fontId="3" fillId="0" borderId="0" xfId="3" applyAlignment="1">
      <alignment horizontal="left" vertical="center" wrapText="1"/>
    </xf>
    <xf numFmtId="0" fontId="3" fillId="0" borderId="0" xfId="3" applyAlignment="1">
      <alignment horizontal="center" vertical="center"/>
    </xf>
    <xf numFmtId="14" fontId="3" fillId="0" borderId="0" xfId="3" applyNumberFormat="1" applyAlignment="1">
      <alignment horizontal="center" vertical="center"/>
    </xf>
    <xf numFmtId="14" fontId="21" fillId="0" borderId="0" xfId="9" applyNumberFormat="1" applyFont="1"/>
    <xf numFmtId="0" fontId="31" fillId="26" borderId="0" xfId="12"/>
    <xf numFmtId="0" fontId="32" fillId="0" borderId="0" xfId="0" applyFont="1"/>
    <xf numFmtId="9" fontId="4" fillId="6" borderId="13" xfId="4" applyFont="1" applyFill="1" applyBorder="1"/>
    <xf numFmtId="9" fontId="0" fillId="6" borderId="14" xfId="4" applyFont="1" applyFill="1" applyBorder="1"/>
    <xf numFmtId="0" fontId="36" fillId="0" borderId="49" xfId="13"/>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15" borderId="19" xfId="0" applyFill="1" applyBorder="1" applyAlignment="1">
      <alignment horizontal="center"/>
    </xf>
    <xf numFmtId="0" fontId="0" fillId="7" borderId="5" xfId="0" applyFill="1" applyBorder="1" applyAlignment="1">
      <alignment horizontal="center"/>
    </xf>
    <xf numFmtId="0" fontId="0" fillId="8" borderId="5" xfId="0" applyFill="1" applyBorder="1" applyAlignment="1">
      <alignment horizontal="center"/>
    </xf>
    <xf numFmtId="0" fontId="0" fillId="16" borderId="5" xfId="0" applyFill="1" applyBorder="1" applyAlignment="1">
      <alignment horizontal="center"/>
    </xf>
    <xf numFmtId="0" fontId="0" fillId="17" borderId="5" xfId="0" applyFill="1" applyBorder="1" applyAlignment="1">
      <alignment horizontal="center"/>
    </xf>
    <xf numFmtId="0" fontId="0" fillId="18" borderId="5" xfId="0" applyFill="1" applyBorder="1" applyAlignment="1">
      <alignment horizontal="center"/>
    </xf>
    <xf numFmtId="0" fontId="0" fillId="19" borderId="5" xfId="0" applyFill="1" applyBorder="1" applyAlignment="1">
      <alignment horizontal="center"/>
    </xf>
    <xf numFmtId="0" fontId="0" fillId="20" borderId="5" xfId="0" applyFill="1" applyBorder="1" applyAlignment="1">
      <alignment horizontal="center"/>
    </xf>
    <xf numFmtId="0" fontId="0" fillId="21" borderId="5" xfId="0" applyFill="1" applyBorder="1" applyAlignment="1">
      <alignment horizontal="center"/>
    </xf>
    <xf numFmtId="0" fontId="0" fillId="22" borderId="5" xfId="0" applyFill="1" applyBorder="1" applyAlignment="1">
      <alignment horizontal="center"/>
    </xf>
    <xf numFmtId="0" fontId="0" fillId="23" borderId="5" xfId="0" applyFill="1" applyBorder="1" applyAlignment="1">
      <alignment horizontal="center"/>
    </xf>
    <xf numFmtId="0" fontId="0" fillId="24" borderId="5" xfId="0" applyFill="1" applyBorder="1" applyAlignment="1">
      <alignment horizontal="center"/>
    </xf>
    <xf numFmtId="0" fontId="11" fillId="9" borderId="5" xfId="0" applyFont="1" applyFill="1" applyBorder="1" applyAlignment="1">
      <alignment horizontal="center"/>
    </xf>
    <xf numFmtId="0" fontId="0" fillId="10" borderId="5" xfId="0" applyFill="1" applyBorder="1" applyAlignment="1">
      <alignment horizontal="center"/>
    </xf>
    <xf numFmtId="0" fontId="0" fillId="11" borderId="5" xfId="0" applyFill="1" applyBorder="1" applyAlignment="1">
      <alignment horizontal="center"/>
    </xf>
    <xf numFmtId="0" fontId="0" fillId="12" borderId="5" xfId="0" applyFill="1" applyBorder="1" applyAlignment="1">
      <alignment horizontal="center"/>
    </xf>
    <xf numFmtId="0" fontId="0" fillId="13" borderId="5" xfId="0" applyFill="1" applyBorder="1" applyAlignment="1">
      <alignment horizontal="center"/>
    </xf>
    <xf numFmtId="0" fontId="0" fillId="14" borderId="3" xfId="0" applyFill="1" applyBorder="1" applyAlignment="1">
      <alignment horizontal="center"/>
    </xf>
    <xf numFmtId="0" fontId="0" fillId="0" borderId="0" xfId="4" applyNumberFormat="1" applyFont="1"/>
    <xf numFmtId="0" fontId="4" fillId="0" borderId="0" xfId="4" applyNumberFormat="1" applyFont="1"/>
    <xf numFmtId="0" fontId="5" fillId="0" borderId="0" xfId="4" applyNumberFormat="1" applyFont="1"/>
    <xf numFmtId="9" fontId="4" fillId="4" borderId="14" xfId="4" applyFont="1" applyFill="1" applyBorder="1"/>
    <xf numFmtId="0" fontId="0" fillId="6" borderId="15" xfId="4" applyNumberFormat="1" applyFont="1" applyFill="1" applyBorder="1"/>
    <xf numFmtId="0" fontId="20" fillId="0" borderId="0" xfId="9" applyFont="1" applyAlignment="1">
      <alignment horizontal="center"/>
    </xf>
    <xf numFmtId="0" fontId="20" fillId="0" borderId="43" xfId="9" applyFont="1" applyBorder="1" applyAlignment="1">
      <alignment horizontal="center"/>
    </xf>
    <xf numFmtId="0" fontId="21" fillId="0" borderId="39" xfId="9" applyFont="1" applyBorder="1" applyAlignment="1">
      <alignment horizontal="left"/>
    </xf>
    <xf numFmtId="0" fontId="20" fillId="0" borderId="40" xfId="9" applyFont="1" applyBorder="1" applyAlignment="1">
      <alignment horizontal="left"/>
    </xf>
    <xf numFmtId="0" fontId="20" fillId="0" borderId="41" xfId="9" applyFont="1" applyBorder="1" applyAlignment="1">
      <alignment horizontal="left"/>
    </xf>
    <xf numFmtId="0" fontId="21" fillId="0" borderId="33" xfId="9" applyFont="1" applyBorder="1" applyAlignment="1">
      <alignment horizontal="left" vertical="top" wrapText="1"/>
    </xf>
    <xf numFmtId="0" fontId="21" fillId="0" borderId="34" xfId="9" applyFont="1" applyBorder="1" applyAlignment="1">
      <alignment horizontal="left" vertical="top" wrapText="1"/>
    </xf>
    <xf numFmtId="0" fontId="21" fillId="0" borderId="35" xfId="9" applyFont="1" applyBorder="1" applyAlignment="1">
      <alignment horizontal="left" vertical="top" wrapText="1"/>
    </xf>
    <xf numFmtId="0" fontId="21" fillId="0" borderId="42" xfId="9" applyFont="1" applyBorder="1" applyAlignment="1">
      <alignment horizontal="left" vertical="top" wrapText="1"/>
    </xf>
    <xf numFmtId="0" fontId="21" fillId="0" borderId="0" xfId="9" applyFont="1" applyAlignment="1">
      <alignment horizontal="left" vertical="top" wrapText="1"/>
    </xf>
    <xf numFmtId="0" fontId="21" fillId="0" borderId="43" xfId="9" applyFont="1" applyBorder="1" applyAlignment="1">
      <alignment horizontal="left" vertical="top" wrapText="1"/>
    </xf>
    <xf numFmtId="0" fontId="21" fillId="0" borderId="36" xfId="9" applyFont="1" applyBorder="1" applyAlignment="1">
      <alignment horizontal="left" vertical="top" wrapText="1"/>
    </xf>
    <xf numFmtId="0" fontId="21" fillId="0" borderId="37" xfId="9" applyFont="1" applyBorder="1" applyAlignment="1">
      <alignment horizontal="left" vertical="top" wrapText="1"/>
    </xf>
    <xf numFmtId="0" fontId="21" fillId="0" borderId="38" xfId="9" applyFont="1" applyBorder="1" applyAlignment="1">
      <alignment horizontal="left" vertical="top" wrapText="1"/>
    </xf>
    <xf numFmtId="0" fontId="21" fillId="0" borderId="33" xfId="9" applyFont="1" applyBorder="1" applyAlignment="1">
      <alignment horizontal="left"/>
    </xf>
    <xf numFmtId="0" fontId="21" fillId="0" borderId="34" xfId="9" applyFont="1" applyBorder="1" applyAlignment="1">
      <alignment horizontal="left"/>
    </xf>
    <xf numFmtId="0" fontId="21" fillId="0" borderId="35" xfId="9" applyFont="1" applyBorder="1" applyAlignment="1">
      <alignment horizontal="left"/>
    </xf>
    <xf numFmtId="0" fontId="21" fillId="0" borderId="40" xfId="9" applyFont="1" applyBorder="1" applyAlignment="1">
      <alignment horizontal="left"/>
    </xf>
    <xf numFmtId="0" fontId="21" fillId="0" borderId="41" xfId="9" applyFont="1" applyBorder="1" applyAlignment="1">
      <alignment horizontal="left"/>
    </xf>
    <xf numFmtId="0" fontId="23" fillId="0" borderId="33" xfId="9" applyFont="1" applyBorder="1" applyAlignment="1">
      <alignment horizontal="center"/>
    </xf>
    <xf numFmtId="0" fontId="23" fillId="0" borderId="35" xfId="9" applyFont="1" applyBorder="1" applyAlignment="1">
      <alignment horizontal="center"/>
    </xf>
    <xf numFmtId="0" fontId="23" fillId="0" borderId="36" xfId="9" applyFont="1" applyBorder="1" applyAlignment="1">
      <alignment horizontal="center"/>
    </xf>
    <xf numFmtId="0" fontId="23" fillId="0" borderId="38" xfId="9" applyFont="1" applyBorder="1" applyAlignment="1">
      <alignment horizontal="center"/>
    </xf>
    <xf numFmtId="0" fontId="20" fillId="0" borderId="34" xfId="9" applyFont="1" applyBorder="1" applyAlignment="1">
      <alignment horizontal="left" vertical="top"/>
    </xf>
    <xf numFmtId="0" fontId="20" fillId="0" borderId="35" xfId="9" applyFont="1" applyBorder="1" applyAlignment="1">
      <alignment horizontal="left" vertical="top"/>
    </xf>
    <xf numFmtId="0" fontId="20" fillId="0" borderId="34" xfId="9" applyFont="1" applyBorder="1" applyAlignment="1">
      <alignment horizontal="center"/>
    </xf>
    <xf numFmtId="0" fontId="20" fillId="0" borderId="35" xfId="9" applyFont="1" applyBorder="1" applyAlignment="1">
      <alignment horizontal="center"/>
    </xf>
    <xf numFmtId="0" fontId="23" fillId="0" borderId="35" xfId="9" applyFont="1" applyBorder="1" applyAlignment="1">
      <alignment horizontal="right" vertical="center"/>
    </xf>
    <xf numFmtId="0" fontId="23" fillId="0" borderId="38" xfId="9" applyFont="1" applyBorder="1" applyAlignment="1">
      <alignment horizontal="right" vertical="center"/>
    </xf>
    <xf numFmtId="0" fontId="23" fillId="0" borderId="33" xfId="9" applyFont="1" applyBorder="1" applyAlignment="1">
      <alignment horizontal="left" vertical="center" wrapText="1"/>
    </xf>
    <xf numFmtId="0" fontId="23" fillId="0" borderId="34" xfId="9" applyFont="1" applyBorder="1" applyAlignment="1">
      <alignment horizontal="left" vertical="center" wrapText="1"/>
    </xf>
    <xf numFmtId="0" fontId="23" fillId="0" borderId="35" xfId="9" applyFont="1" applyBorder="1" applyAlignment="1">
      <alignment horizontal="left" vertical="center" wrapText="1"/>
    </xf>
    <xf numFmtId="0" fontId="23" fillId="0" borderId="36" xfId="9" applyFont="1" applyBorder="1" applyAlignment="1">
      <alignment horizontal="left" vertical="center" wrapText="1"/>
    </xf>
    <xf numFmtId="0" fontId="23" fillId="0" borderId="37" xfId="9" applyFont="1" applyBorder="1" applyAlignment="1">
      <alignment horizontal="left" vertical="center" wrapText="1"/>
    </xf>
    <xf numFmtId="0" fontId="23" fillId="0" borderId="38" xfId="9" applyFont="1" applyBorder="1" applyAlignment="1">
      <alignment horizontal="left" vertical="center" wrapText="1"/>
    </xf>
    <xf numFmtId="0" fontId="20" fillId="0" borderId="0" xfId="9" applyFont="1" applyAlignment="1">
      <alignment horizontal="left" vertical="center" wrapText="1"/>
    </xf>
    <xf numFmtId="0" fontId="20" fillId="0" borderId="33" xfId="9" applyFont="1" applyBorder="1" applyAlignment="1">
      <alignment vertical="top" wrapText="1"/>
    </xf>
    <xf numFmtId="0" fontId="20" fillId="0" borderId="34" xfId="9" applyFont="1" applyBorder="1" applyAlignment="1">
      <alignment vertical="top" wrapText="1"/>
    </xf>
    <xf numFmtId="0" fontId="20" fillId="0" borderId="35" xfId="9" applyFont="1" applyBorder="1" applyAlignment="1">
      <alignment vertical="top" wrapText="1"/>
    </xf>
    <xf numFmtId="0" fontId="20" fillId="0" borderId="36" xfId="9" applyFont="1" applyBorder="1" applyAlignment="1">
      <alignment vertical="top" wrapText="1"/>
    </xf>
    <xf numFmtId="0" fontId="20" fillId="0" borderId="37" xfId="9" applyFont="1" applyBorder="1" applyAlignment="1">
      <alignment vertical="top" wrapText="1"/>
    </xf>
    <xf numFmtId="0" fontId="20" fillId="0" borderId="38" xfId="9" applyFont="1" applyBorder="1" applyAlignment="1">
      <alignment vertical="top" wrapText="1"/>
    </xf>
    <xf numFmtId="0" fontId="20" fillId="0" borderId="40" xfId="9" applyFont="1" applyBorder="1" applyAlignment="1">
      <alignment horizontal="center"/>
    </xf>
    <xf numFmtId="0" fontId="20" fillId="0" borderId="41" xfId="9" applyFont="1" applyBorder="1" applyAlignment="1">
      <alignment horizontal="center"/>
    </xf>
    <xf numFmtId="0" fontId="20" fillId="0" borderId="39" xfId="9" applyFont="1" applyBorder="1" applyAlignment="1">
      <alignment horizontal="left" vertical="center" wrapText="1"/>
    </xf>
    <xf numFmtId="0" fontId="20" fillId="0" borderId="40" xfId="9" applyFont="1" applyBorder="1" applyAlignment="1">
      <alignment horizontal="left" vertical="center" wrapText="1"/>
    </xf>
    <xf numFmtId="0" fontId="20" fillId="0" borderId="41" xfId="9" applyFont="1" applyBorder="1" applyAlignment="1">
      <alignment horizontal="left" vertical="center" wrapText="1"/>
    </xf>
    <xf numFmtId="0" fontId="20" fillId="0" borderId="0" xfId="9" applyFont="1" applyAlignment="1">
      <alignment horizontal="left" vertical="top"/>
    </xf>
    <xf numFmtId="0" fontId="20" fillId="0" borderId="0" xfId="9" applyFont="1" applyAlignment="1">
      <alignment horizontal="center" vertical="top"/>
    </xf>
    <xf numFmtId="0" fontId="3" fillId="0" borderId="5" xfId="3" applyBorder="1" applyAlignment="1" applyProtection="1">
      <alignment wrapText="1"/>
      <protection locked="0"/>
    </xf>
    <xf numFmtId="0" fontId="3" fillId="0" borderId="3" xfId="3" applyBorder="1" applyAlignment="1" applyProtection="1">
      <alignment wrapText="1"/>
      <protection locked="0"/>
    </xf>
    <xf numFmtId="0" fontId="3" fillId="0" borderId="17" xfId="3" applyBorder="1" applyAlignment="1" applyProtection="1">
      <alignment wrapText="1"/>
      <protection locked="0"/>
    </xf>
    <xf numFmtId="0" fontId="3" fillId="0" borderId="5" xfId="3" applyBorder="1" applyAlignment="1">
      <alignment wrapText="1"/>
    </xf>
    <xf numFmtId="0" fontId="7" fillId="3" borderId="31" xfId="6" applyBorder="1" applyAlignment="1">
      <alignment horizontal="left" vertical="top" wrapText="1"/>
    </xf>
    <xf numFmtId="0" fontId="7" fillId="3" borderId="20" xfId="6" applyBorder="1" applyAlignment="1">
      <alignment horizontal="left" vertical="top" wrapText="1"/>
    </xf>
    <xf numFmtId="0" fontId="3" fillId="0" borderId="17" xfId="3" applyBorder="1" applyAlignment="1">
      <alignment vertical="top" wrapText="1"/>
    </xf>
    <xf numFmtId="0" fontId="3" fillId="0" borderId="5" xfId="3" applyBorder="1" applyAlignment="1">
      <alignment vertical="top" wrapText="1"/>
    </xf>
    <xf numFmtId="0" fontId="4" fillId="0" borderId="0" xfId="0" applyFont="1" applyAlignment="1">
      <alignment horizontal="center"/>
    </xf>
    <xf numFmtId="0" fontId="2" fillId="2" borderId="47" xfId="2" applyBorder="1" applyAlignment="1">
      <alignment horizontal="left"/>
    </xf>
    <xf numFmtId="0" fontId="2" fillId="2" borderId="48" xfId="2" applyBorder="1" applyAlignment="1">
      <alignment horizontal="left"/>
    </xf>
    <xf numFmtId="0" fontId="3" fillId="0" borderId="5" xfId="3" applyBorder="1" applyAlignment="1" applyProtection="1">
      <alignment horizontal="left" vertical="top" wrapText="1"/>
      <protection locked="0"/>
    </xf>
    <xf numFmtId="0" fontId="3" fillId="0" borderId="5" xfId="3" applyBorder="1" applyAlignment="1">
      <alignment horizontal="left" wrapText="1"/>
    </xf>
    <xf numFmtId="0" fontId="0" fillId="0" borderId="0" xfId="0" applyAlignment="1">
      <alignment horizontal="center"/>
    </xf>
    <xf numFmtId="0" fontId="6" fillId="0" borderId="11" xfId="5" applyBorder="1" applyAlignment="1">
      <alignment horizontal="center"/>
    </xf>
    <xf numFmtId="0" fontId="6" fillId="0" borderId="10" xfId="5" applyBorder="1" applyAlignment="1">
      <alignment horizontal="center"/>
    </xf>
    <xf numFmtId="0" fontId="3" fillId="0" borderId="17" xfId="3" applyBorder="1" applyAlignment="1">
      <alignment wrapText="1"/>
    </xf>
    <xf numFmtId="0" fontId="3" fillId="0" borderId="3" xfId="3" applyBorder="1" applyAlignment="1">
      <alignment wrapText="1"/>
    </xf>
    <xf numFmtId="9" fontId="3" fillId="0" borderId="17" xfId="3" applyNumberFormat="1" applyBorder="1" applyAlignment="1">
      <alignment vertical="top" wrapText="1"/>
    </xf>
    <xf numFmtId="9" fontId="3" fillId="0" borderId="5" xfId="3" applyNumberFormat="1" applyBorder="1" applyAlignment="1">
      <alignment vertical="top" wrapText="1"/>
    </xf>
    <xf numFmtId="9" fontId="3" fillId="0" borderId="5" xfId="3" applyNumberFormat="1" applyBorder="1" applyAlignment="1">
      <alignment wrapText="1"/>
    </xf>
    <xf numFmtId="9" fontId="3" fillId="0" borderId="3" xfId="3" applyNumberFormat="1" applyBorder="1" applyAlignment="1">
      <alignment wrapText="1"/>
    </xf>
    <xf numFmtId="9" fontId="3" fillId="0" borderId="5" xfId="3" applyNumberFormat="1" applyBorder="1" applyAlignment="1">
      <alignment horizontal="left" vertical="top" wrapText="1"/>
    </xf>
    <xf numFmtId="0" fontId="2" fillId="2" borderId="50" xfId="2" applyBorder="1"/>
    <xf numFmtId="0" fontId="2" fillId="2" borderId="0" xfId="2" applyBorder="1"/>
    <xf numFmtId="164" fontId="16" fillId="0" borderId="0" xfId="0" applyNumberFormat="1" applyFont="1" applyAlignment="1">
      <alignment horizontal="left" wrapText="1"/>
    </xf>
    <xf numFmtId="9" fontId="1" fillId="0" borderId="1" xfId="1" applyNumberFormat="1" applyAlignment="1">
      <alignment horizontal="center"/>
    </xf>
    <xf numFmtId="9" fontId="1" fillId="0" borderId="30" xfId="1" applyNumberFormat="1" applyBorder="1" applyAlignment="1">
      <alignment horizontal="center"/>
    </xf>
    <xf numFmtId="9" fontId="0" fillId="0" borderId="28" xfId="4" applyFont="1" applyBorder="1" applyAlignment="1">
      <alignment horizontal="center"/>
    </xf>
    <xf numFmtId="9" fontId="0" fillId="0" borderId="29" xfId="4" applyFont="1" applyBorder="1" applyAlignment="1">
      <alignment horizontal="center"/>
    </xf>
    <xf numFmtId="9" fontId="3" fillId="0" borderId="0" xfId="3" applyNumberFormat="1" applyBorder="1" applyAlignment="1">
      <alignment horizontal="left" wrapText="1"/>
    </xf>
    <xf numFmtId="9" fontId="3" fillId="0" borderId="10" xfId="3" applyNumberFormat="1" applyBorder="1" applyAlignment="1">
      <alignment horizontal="left" wrapText="1"/>
    </xf>
    <xf numFmtId="9" fontId="0" fillId="0" borderId="0" xfId="4" applyFont="1" applyBorder="1" applyAlignment="1">
      <alignment horizontal="center"/>
    </xf>
    <xf numFmtId="9" fontId="0" fillId="0" borderId="10" xfId="4" applyFont="1" applyBorder="1" applyAlignment="1">
      <alignment horizontal="center"/>
    </xf>
    <xf numFmtId="9" fontId="3" fillId="0" borderId="24" xfId="3" applyNumberFormat="1" applyBorder="1" applyAlignment="1">
      <alignment horizontal="left" wrapText="1"/>
    </xf>
    <xf numFmtId="9" fontId="3" fillId="0" borderId="25" xfId="3" applyNumberFormat="1" applyBorder="1" applyAlignment="1">
      <alignment horizontal="left" wrapText="1"/>
    </xf>
    <xf numFmtId="0" fontId="3" fillId="0" borderId="0" xfId="3" applyBorder="1" applyAlignment="1">
      <alignment horizontal="left" wrapText="1"/>
    </xf>
    <xf numFmtId="0" fontId="3" fillId="0" borderId="10" xfId="3" applyBorder="1" applyAlignment="1">
      <alignment horizontal="left" wrapText="1"/>
    </xf>
    <xf numFmtId="0" fontId="10" fillId="0" borderId="21" xfId="7" applyBorder="1" applyAlignment="1">
      <alignment wrapText="1"/>
    </xf>
    <xf numFmtId="0" fontId="10" fillId="0" borderId="22" xfId="7" applyBorder="1" applyAlignment="1">
      <alignment wrapText="1"/>
    </xf>
    <xf numFmtId="9" fontId="10" fillId="0" borderId="18" xfId="7" applyNumberFormat="1" applyAlignment="1">
      <alignment horizontal="left"/>
    </xf>
    <xf numFmtId="0" fontId="1" fillId="0" borderId="26" xfId="1" applyBorder="1" applyAlignment="1">
      <alignment horizontal="center"/>
    </xf>
    <xf numFmtId="0" fontId="1" fillId="0" borderId="27" xfId="1"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3" fillId="0" borderId="0" xfId="3" applyBorder="1" applyAlignment="1">
      <alignment horizontal="center" wrapText="1"/>
    </xf>
    <xf numFmtId="0" fontId="3" fillId="0" borderId="10" xfId="3" applyBorder="1" applyAlignment="1">
      <alignment horizontal="center" wrapText="1"/>
    </xf>
    <xf numFmtId="0" fontId="1" fillId="0" borderId="1" xfId="1" applyAlignment="1">
      <alignment horizontal="center"/>
    </xf>
    <xf numFmtId="0" fontId="1" fillId="0" borderId="30" xfId="1" applyBorder="1" applyAlignment="1">
      <alignment horizontal="center"/>
    </xf>
    <xf numFmtId="9" fontId="1" fillId="0" borderId="28" xfId="4" applyFont="1" applyBorder="1" applyAlignment="1">
      <alignment horizontal="center"/>
    </xf>
    <xf numFmtId="9" fontId="1" fillId="0" borderId="29" xfId="4" applyFont="1" applyBorder="1" applyAlignment="1">
      <alignment horizontal="center"/>
    </xf>
  </cellXfs>
  <cellStyles count="14">
    <cellStyle name="Calculation" xfId="6" builtinId="22"/>
    <cellStyle name="Explanatory Text" xfId="3" builtinId="53"/>
    <cellStyle name="Heading 1" xfId="5" builtinId="16"/>
    <cellStyle name="Heading 2" xfId="7" builtinId="17"/>
    <cellStyle name="Heading 3" xfId="1" builtinId="18"/>
    <cellStyle name="Heading 4" xfId="8" builtinId="19"/>
    <cellStyle name="Hyperlink" xfId="10" builtinId="8"/>
    <cellStyle name="Hyperlink 2" xfId="11" xr:uid="{7DB8A50E-A62F-401B-8B99-F1240FF03127}"/>
    <cellStyle name="Input" xfId="2" builtinId="20"/>
    <cellStyle name="Linked Cell" xfId="13" builtinId="24"/>
    <cellStyle name="Neutral" xfId="12" builtinId="28"/>
    <cellStyle name="Normal" xfId="0" builtinId="0"/>
    <cellStyle name="Normal 2 2" xfId="9" xr:uid="{2CC78E06-0521-41F0-9496-B4E7B0B0DEF4}"/>
    <cellStyle name="Percent" xfId="4" builtinId="5"/>
  </cellStyles>
  <dxfs count="5">
    <dxf>
      <fill>
        <patternFill patternType="none">
          <bgColor auto="1"/>
        </patternFill>
      </fill>
      <border>
        <top style="thin">
          <color rgb="FF58A618"/>
        </top>
        <bottom style="thin">
          <color rgb="FF58A618"/>
        </bottom>
        <vertical/>
        <horizontal/>
      </border>
    </dxf>
    <dxf>
      <font>
        <color rgb="FF98002E"/>
      </font>
      <fill>
        <patternFill patternType="none">
          <bgColor auto="1"/>
        </patternFill>
      </fill>
      <border>
        <top style="thin">
          <color rgb="FF58A618"/>
        </top>
        <bottom style="thin">
          <color rgb="FF58A618"/>
        </bottom>
        <vertical/>
        <horizontal/>
      </border>
    </dxf>
    <dxf>
      <font>
        <color rgb="FF58A618"/>
      </font>
      <fill>
        <patternFill patternType="none">
          <bgColor auto="1"/>
        </patternFill>
      </fill>
      <border>
        <top style="thin">
          <color rgb="FF58A618"/>
        </top>
        <bottom style="thin">
          <color rgb="FF58A618"/>
        </bottom>
        <vertical/>
        <horizontal/>
      </border>
    </dxf>
    <dxf>
      <font>
        <b/>
        <i val="0"/>
        <color rgb="FFFFFF00"/>
      </font>
      <fill>
        <patternFill>
          <bgColor rgb="FFC00000"/>
        </patternFill>
      </fill>
    </dxf>
    <dxf>
      <font>
        <b/>
        <i val="0"/>
        <color rgb="FFFFFF00"/>
      </font>
      <fill>
        <patternFill>
          <bgColor rgb="FFC00000"/>
        </patternFill>
      </fill>
    </dxf>
  </dxfs>
  <tableStyles count="0" defaultTableStyle="TableStyleMedium2" defaultPivotStyle="PivotStyleLight16"/>
  <colors>
    <mruColors>
      <color rgb="FF58A618"/>
      <color rgb="FF980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4"/>
          <c:order val="0"/>
          <c:tx>
            <c:v>Min</c:v>
          </c:tx>
          <c:spPr>
            <a:noFill/>
            <a:ln>
              <a:no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[0]!Centile_0</c:f>
              <c:numCache>
                <c:formatCode>General</c:formatCode>
                <c:ptCount val="6"/>
                <c:pt idx="0">
                  <c:v>29.2</c:v>
                </c:pt>
                <c:pt idx="1">
                  <c:v>30.3</c:v>
                </c:pt>
                <c:pt idx="2">
                  <c:v>29.8</c:v>
                </c:pt>
                <c:pt idx="3">
                  <c:v>30.6</c:v>
                </c:pt>
                <c:pt idx="4">
                  <c:v>31.3</c:v>
                </c:pt>
                <c:pt idx="5">
                  <c:v>30.9</c:v>
                </c:pt>
              </c:numCache>
            </c:numRef>
          </c:val>
          <c:extLst>
            <c:ext xmlns:c16="http://schemas.microsoft.com/office/drawing/2014/chart" uri="{C3380CC4-5D6E-409C-BE32-E72D297353CC}">
              <c16:uniqueId val="{00000004-DAA0-4CA5-8224-B6E66C6C070E}"/>
            </c:ext>
          </c:extLst>
        </c:ser>
        <c:ser>
          <c:idx val="3"/>
          <c:order val="1"/>
          <c:tx>
            <c:v>25th Centile</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[0]!Centile_25</c:f>
              <c:numCache>
                <c:formatCode>General</c:formatCode>
                <c:ptCount val="6"/>
                <c:pt idx="0">
                  <c:v>0.40000000000000213</c:v>
                </c:pt>
                <c:pt idx="1">
                  <c:v>0.39999999999999858</c:v>
                </c:pt>
                <c:pt idx="2">
                  <c:v>0.59999999999999787</c:v>
                </c:pt>
                <c:pt idx="3">
                  <c:v>0.39999999999999858</c:v>
                </c:pt>
                <c:pt idx="4">
                  <c:v>0.39999999999999858</c:v>
                </c:pt>
                <c:pt idx="5">
                  <c:v>0.60000000000000142</c:v>
                </c:pt>
              </c:numCache>
            </c:numRef>
          </c:val>
          <c:extLst>
            <c:ext xmlns:c16="http://schemas.microsoft.com/office/drawing/2014/chart" uri="{C3380CC4-5D6E-409C-BE32-E72D297353CC}">
              <c16:uniqueId val="{00000003-DAA0-4CA5-8224-B6E66C6C070E}"/>
            </c:ext>
          </c:extLst>
        </c:ser>
        <c:ser>
          <c:idx val="2"/>
          <c:order val="2"/>
          <c:tx>
            <c:v>50th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[0]!Centile_50</c:f>
              <c:numCache>
                <c:formatCode>General</c:formatCode>
                <c:ptCount val="6"/>
                <c:pt idx="0">
                  <c:v>9.9999999999997868E-2</c:v>
                </c:pt>
                <c:pt idx="1">
                  <c:v>0.60000000000000142</c:v>
                </c:pt>
                <c:pt idx="2">
                  <c:v>0.10000000000000142</c:v>
                </c:pt>
                <c:pt idx="3">
                  <c:v>0.10000000000000142</c:v>
                </c:pt>
                <c:pt idx="4">
                  <c:v>0.59999999999999787</c:v>
                </c:pt>
                <c:pt idx="5">
                  <c:v>0.10000000000000142</c:v>
                </c:pt>
              </c:numCache>
            </c:numRef>
          </c:val>
          <c:extLst>
            <c:ext xmlns:c16="http://schemas.microsoft.com/office/drawing/2014/chart" uri="{C3380CC4-5D6E-409C-BE32-E72D297353CC}">
              <c16:uniqueId val="{00000002-DAA0-4CA5-8224-B6E66C6C070E}"/>
            </c:ext>
          </c:extLst>
        </c:ser>
        <c:ser>
          <c:idx val="1"/>
          <c:order val="3"/>
          <c:tx>
            <c:v>75th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[0]!Centile_75</c:f>
              <c:numCache>
                <c:formatCode>General</c:formatCode>
                <c:ptCount val="6"/>
                <c:pt idx="0">
                  <c:v>0.90000000000000213</c:v>
                </c:pt>
                <c:pt idx="1">
                  <c:v>0.69999999999999929</c:v>
                </c:pt>
                <c:pt idx="2">
                  <c:v>0.69999999999999929</c:v>
                </c:pt>
                <c:pt idx="3">
                  <c:v>0.89999999999999858</c:v>
                </c:pt>
                <c:pt idx="4">
                  <c:v>0.80000000000000426</c:v>
                </c:pt>
                <c:pt idx="5">
                  <c:v>0.69999999999999574</c:v>
                </c:pt>
              </c:numCache>
            </c:numRef>
          </c:val>
          <c:extLst>
            <c:ext xmlns:c16="http://schemas.microsoft.com/office/drawing/2014/chart" uri="{C3380CC4-5D6E-409C-BE32-E72D297353CC}">
              <c16:uniqueId val="{00000001-DAA0-4CA5-8224-B6E66C6C070E}"/>
            </c:ext>
          </c:extLst>
        </c:ser>
        <c:ser>
          <c:idx val="0"/>
          <c:order val="4"/>
          <c:tx>
            <c:v>Max</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[0]!Centile_100</c:f>
              <c:numCache>
                <c:formatCode>General</c:formatCode>
                <c:ptCount val="6"/>
                <c:pt idx="0">
                  <c:v>0.39999999999999858</c:v>
                </c:pt>
                <c:pt idx="1">
                  <c:v>0.29999999999999716</c:v>
                </c:pt>
                <c:pt idx="2">
                  <c:v>0.40000000000000213</c:v>
                </c:pt>
                <c:pt idx="3">
                  <c:v>0.39999999999999858</c:v>
                </c:pt>
                <c:pt idx="4">
                  <c:v>0.19999999999999574</c:v>
                </c:pt>
                <c:pt idx="5">
                  <c:v>0.40000000000000568</c:v>
                </c:pt>
              </c:numCache>
            </c:numRef>
          </c:val>
          <c:extLst>
            <c:ext xmlns:c16="http://schemas.microsoft.com/office/drawing/2014/chart" uri="{C3380CC4-5D6E-409C-BE32-E72D297353CC}">
              <c16:uniqueId val="{00000000-DAA0-4CA5-8224-B6E66C6C070E}"/>
            </c:ext>
          </c:extLst>
        </c:ser>
        <c:dLbls>
          <c:showLegendKey val="0"/>
          <c:showVal val="0"/>
          <c:showCatName val="0"/>
          <c:showSerName val="0"/>
          <c:showPercent val="0"/>
          <c:showBubbleSize val="0"/>
        </c:dLbls>
        <c:gapWidth val="150"/>
        <c:overlap val="100"/>
        <c:axId val="651207295"/>
        <c:axId val="651205855"/>
      </c:barChart>
      <c:lineChart>
        <c:grouping val="standard"/>
        <c:varyColors val="0"/>
        <c:ser>
          <c:idx val="5"/>
          <c:order val="5"/>
          <c:tx>
            <c:strRef>
              <c:f>Plots!$F$18</c:f>
              <c:strCache>
                <c:ptCount val="1"/>
                <c:pt idx="0">
                  <c:v>Peak Outdoor Air Temperature</c:v>
                </c:pt>
              </c:strCache>
            </c:strRef>
          </c:tx>
          <c:spPr>
            <a:ln w="19050" cap="rnd">
              <a:solidFill>
                <a:srgbClr val="58A618">
                  <a:alpha val="97000"/>
                </a:srgbClr>
              </a:solidFill>
              <a:prstDash val="dash"/>
              <a:round/>
            </a:ln>
            <a:effectLst/>
          </c:spPr>
          <c:marker>
            <c:symbol val="none"/>
          </c:marker>
          <c:cat>
            <c:strRef>
              <c:f>[0]!Plot_Labels</c:f>
              <c:strCache>
                <c:ptCount val="6"/>
                <c:pt idx="0">
                  <c:v>DSY1 2020</c:v>
                </c:pt>
                <c:pt idx="1">
                  <c:v>DSY2 2020</c:v>
                </c:pt>
                <c:pt idx="2">
                  <c:v>DSY3 2020</c:v>
                </c:pt>
                <c:pt idx="3">
                  <c:v>DSY1 2050</c:v>
                </c:pt>
                <c:pt idx="4">
                  <c:v>DSY2 2050</c:v>
                </c:pt>
                <c:pt idx="5">
                  <c:v>DSY3 2050</c:v>
                </c:pt>
              </c:strCache>
            </c:strRef>
          </c:cat>
          <c:val>
            <c:numRef>
              <c:f>[0]!Reference</c:f>
              <c:numCache>
                <c:formatCode>General</c:formatCode>
                <c:ptCount val="6"/>
                <c:pt idx="0">
                  <c:v>34.6</c:v>
                </c:pt>
                <c:pt idx="1">
                  <c:v>38.6</c:v>
                </c:pt>
                <c:pt idx="2">
                  <c:v>35</c:v>
                </c:pt>
                <c:pt idx="3">
                  <c:v>36.4</c:v>
                </c:pt>
                <c:pt idx="4">
                  <c:v>39.9</c:v>
                </c:pt>
                <c:pt idx="5">
                  <c:v>36.299999999999997</c:v>
                </c:pt>
              </c:numCache>
            </c:numRef>
          </c:val>
          <c:smooth val="0"/>
          <c:extLst>
            <c:ext xmlns:c16="http://schemas.microsoft.com/office/drawing/2014/chart" uri="{C3380CC4-5D6E-409C-BE32-E72D297353CC}">
              <c16:uniqueId val="{00000005-DAA0-4CA5-8224-B6E66C6C070E}"/>
            </c:ext>
          </c:extLst>
        </c:ser>
        <c:dLbls>
          <c:showLegendKey val="0"/>
          <c:showVal val="0"/>
          <c:showCatName val="0"/>
          <c:showSerName val="0"/>
          <c:showPercent val="0"/>
          <c:showBubbleSize val="0"/>
        </c:dLbls>
        <c:marker val="1"/>
        <c:smooth val="0"/>
        <c:axId val="684566351"/>
        <c:axId val="684565871"/>
      </c:lineChart>
      <c:catAx>
        <c:axId val="65120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5855"/>
        <c:crosses val="autoZero"/>
        <c:auto val="1"/>
        <c:lblAlgn val="ctr"/>
        <c:lblOffset val="100"/>
        <c:noMultiLvlLbl val="0"/>
      </c:catAx>
      <c:valAx>
        <c:axId val="651205855"/>
        <c:scaling>
          <c:orientation val="minMax"/>
        </c:scaling>
        <c:delete val="0"/>
        <c:axPos val="l"/>
        <c:majorGridlines>
          <c:spPr>
            <a:ln w="9525" cap="flat" cmpd="sng" algn="ctr">
              <a:solidFill>
                <a:schemeClr val="tx1">
                  <a:lumMod val="15000"/>
                  <a:lumOff val="85000"/>
                </a:schemeClr>
              </a:solidFill>
              <a:round/>
            </a:ln>
            <a:effectLst/>
          </c:spPr>
        </c:majorGridlines>
        <c:title>
          <c:tx>
            <c:strRef>
              <c:f>Plots!$G$6</c:f>
              <c:strCache>
                <c:ptCount val="1"/>
                <c:pt idx="0">
                  <c:v>Peak Operative Temperature</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7295"/>
        <c:crosses val="autoZero"/>
        <c:crossBetween val="between"/>
      </c:valAx>
      <c:valAx>
        <c:axId val="684565871"/>
        <c:scaling>
          <c:orientation val="minMax"/>
        </c:scaling>
        <c:delete val="1"/>
        <c:axPos val="r"/>
        <c:numFmt formatCode="General" sourceLinked="1"/>
        <c:majorTickMark val="out"/>
        <c:minorTickMark val="none"/>
        <c:tickLblPos val="nextTo"/>
        <c:crossAx val="684566351"/>
        <c:crosses val="max"/>
        <c:crossBetween val="midCat"/>
      </c:valAx>
      <c:catAx>
        <c:axId val="684566351"/>
        <c:scaling>
          <c:orientation val="minMax"/>
        </c:scaling>
        <c:delete val="0"/>
        <c:axPos val="t"/>
        <c:numFmt formatCode="General" sourceLinked="1"/>
        <c:majorTickMark val="none"/>
        <c:minorTickMark val="none"/>
        <c:tickLblPos val="none"/>
        <c:spPr>
          <a:noFill/>
          <a:ln w="9525" cap="flat" cmpd="sng" algn="ctr">
            <a:solidFill>
              <a:schemeClr val="tx1">
                <a:lumMod val="15000"/>
                <a:lumOff val="85000"/>
              </a:schemeClr>
            </a:solidFill>
            <a:round/>
          </a:ln>
          <a:effectLst>
            <a:outerShdw blurRad="50800" dist="50800" dir="1800000" algn="ctr" rotWithShape="0">
              <a:srgbClr val="000000">
                <a:alpha val="43137"/>
              </a:srgbClr>
            </a:outerShdw>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565871"/>
        <c:crosses val="max"/>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4"/>
          <c:order val="0"/>
          <c:tx>
            <c:v>Min</c:v>
          </c:tx>
          <c:spPr>
            <a:noFill/>
            <a:ln>
              <a:no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[0]!Centile_0</c:f>
              <c:numCache>
                <c:formatCode>General</c:formatCode>
                <c:ptCount val="6"/>
                <c:pt idx="0">
                  <c:v>29.2</c:v>
                </c:pt>
                <c:pt idx="1">
                  <c:v>30.3</c:v>
                </c:pt>
                <c:pt idx="2">
                  <c:v>29.8</c:v>
                </c:pt>
                <c:pt idx="3">
                  <c:v>30.6</c:v>
                </c:pt>
                <c:pt idx="4">
                  <c:v>31.3</c:v>
                </c:pt>
                <c:pt idx="5">
                  <c:v>30.9</c:v>
                </c:pt>
              </c:numCache>
            </c:numRef>
          </c:val>
          <c:extLst>
            <c:ext xmlns:c16="http://schemas.microsoft.com/office/drawing/2014/chart" uri="{C3380CC4-5D6E-409C-BE32-E72D297353CC}">
              <c16:uniqueId val="{00000000-50A5-4FBA-9B2D-07096ECCD964}"/>
            </c:ext>
          </c:extLst>
        </c:ser>
        <c:ser>
          <c:idx val="3"/>
          <c:order val="1"/>
          <c:tx>
            <c:v>25th Centile</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[0]!Centile_25</c:f>
              <c:numCache>
                <c:formatCode>General</c:formatCode>
                <c:ptCount val="6"/>
                <c:pt idx="0">
                  <c:v>0.40000000000000213</c:v>
                </c:pt>
                <c:pt idx="1">
                  <c:v>0.39999999999999858</c:v>
                </c:pt>
                <c:pt idx="2">
                  <c:v>0.59999999999999787</c:v>
                </c:pt>
                <c:pt idx="3">
                  <c:v>0.39999999999999858</c:v>
                </c:pt>
                <c:pt idx="4">
                  <c:v>0.39999999999999858</c:v>
                </c:pt>
                <c:pt idx="5">
                  <c:v>0.60000000000000142</c:v>
                </c:pt>
              </c:numCache>
            </c:numRef>
          </c:val>
          <c:extLst>
            <c:ext xmlns:c16="http://schemas.microsoft.com/office/drawing/2014/chart" uri="{C3380CC4-5D6E-409C-BE32-E72D297353CC}">
              <c16:uniqueId val="{00000001-50A5-4FBA-9B2D-07096ECCD964}"/>
            </c:ext>
          </c:extLst>
        </c:ser>
        <c:ser>
          <c:idx val="2"/>
          <c:order val="2"/>
          <c:tx>
            <c:v>50th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[0]!Centile_50</c:f>
              <c:numCache>
                <c:formatCode>General</c:formatCode>
                <c:ptCount val="6"/>
                <c:pt idx="0">
                  <c:v>9.9999999999997868E-2</c:v>
                </c:pt>
                <c:pt idx="1">
                  <c:v>0.60000000000000142</c:v>
                </c:pt>
                <c:pt idx="2">
                  <c:v>0.10000000000000142</c:v>
                </c:pt>
                <c:pt idx="3">
                  <c:v>0.10000000000000142</c:v>
                </c:pt>
                <c:pt idx="4">
                  <c:v>0.59999999999999787</c:v>
                </c:pt>
                <c:pt idx="5">
                  <c:v>0.10000000000000142</c:v>
                </c:pt>
              </c:numCache>
            </c:numRef>
          </c:val>
          <c:extLst>
            <c:ext xmlns:c16="http://schemas.microsoft.com/office/drawing/2014/chart" uri="{C3380CC4-5D6E-409C-BE32-E72D297353CC}">
              <c16:uniqueId val="{00000002-50A5-4FBA-9B2D-07096ECCD964}"/>
            </c:ext>
          </c:extLst>
        </c:ser>
        <c:ser>
          <c:idx val="1"/>
          <c:order val="3"/>
          <c:tx>
            <c:v>75th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[0]!Centile_75</c:f>
              <c:numCache>
                <c:formatCode>General</c:formatCode>
                <c:ptCount val="6"/>
                <c:pt idx="0">
                  <c:v>0.90000000000000213</c:v>
                </c:pt>
                <c:pt idx="1">
                  <c:v>0.69999999999999929</c:v>
                </c:pt>
                <c:pt idx="2">
                  <c:v>0.69999999999999929</c:v>
                </c:pt>
                <c:pt idx="3">
                  <c:v>0.89999999999999858</c:v>
                </c:pt>
                <c:pt idx="4">
                  <c:v>0.80000000000000426</c:v>
                </c:pt>
                <c:pt idx="5">
                  <c:v>0.69999999999999574</c:v>
                </c:pt>
              </c:numCache>
            </c:numRef>
          </c:val>
          <c:extLst>
            <c:ext xmlns:c16="http://schemas.microsoft.com/office/drawing/2014/chart" uri="{C3380CC4-5D6E-409C-BE32-E72D297353CC}">
              <c16:uniqueId val="{00000003-50A5-4FBA-9B2D-07096ECCD964}"/>
            </c:ext>
          </c:extLst>
        </c:ser>
        <c:ser>
          <c:idx val="0"/>
          <c:order val="4"/>
          <c:tx>
            <c:v>Max</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[0]!Centile_100</c:f>
              <c:numCache>
                <c:formatCode>General</c:formatCode>
                <c:ptCount val="6"/>
                <c:pt idx="0">
                  <c:v>0.39999999999999858</c:v>
                </c:pt>
                <c:pt idx="1">
                  <c:v>0.29999999999999716</c:v>
                </c:pt>
                <c:pt idx="2">
                  <c:v>0.40000000000000213</c:v>
                </c:pt>
                <c:pt idx="3">
                  <c:v>0.39999999999999858</c:v>
                </c:pt>
                <c:pt idx="4">
                  <c:v>0.19999999999999574</c:v>
                </c:pt>
                <c:pt idx="5">
                  <c:v>0.40000000000000568</c:v>
                </c:pt>
              </c:numCache>
            </c:numRef>
          </c:val>
          <c:extLst>
            <c:ext xmlns:c16="http://schemas.microsoft.com/office/drawing/2014/chart" uri="{C3380CC4-5D6E-409C-BE32-E72D297353CC}">
              <c16:uniqueId val="{00000004-50A5-4FBA-9B2D-07096ECCD964}"/>
            </c:ext>
          </c:extLst>
        </c:ser>
        <c:dLbls>
          <c:showLegendKey val="0"/>
          <c:showVal val="0"/>
          <c:showCatName val="0"/>
          <c:showSerName val="0"/>
          <c:showPercent val="0"/>
          <c:showBubbleSize val="0"/>
        </c:dLbls>
        <c:gapWidth val="150"/>
        <c:overlap val="100"/>
        <c:axId val="651207295"/>
        <c:axId val="651205855"/>
      </c:barChart>
      <c:lineChart>
        <c:grouping val="standard"/>
        <c:varyColors val="0"/>
        <c:ser>
          <c:idx val="5"/>
          <c:order val="5"/>
          <c:tx>
            <c:strRef>
              <c:f>Plots!$F$18</c:f>
              <c:strCache>
                <c:ptCount val="1"/>
                <c:pt idx="0">
                  <c:v>Peak Outdoor Air Temperature</c:v>
                </c:pt>
              </c:strCache>
            </c:strRef>
          </c:tx>
          <c:spPr>
            <a:ln w="19050" cap="rnd">
              <a:solidFill>
                <a:srgbClr val="58A618"/>
              </a:solidFill>
              <a:prstDash val="dash"/>
              <a:round/>
            </a:ln>
            <a:effectLst/>
          </c:spPr>
          <c:marker>
            <c:symbol val="none"/>
          </c:marker>
          <c:cat>
            <c:strRef>
              <c:f>[0]!Plot_Labels</c:f>
              <c:strCache>
                <c:ptCount val="6"/>
                <c:pt idx="0">
                  <c:v>DSY1 2020</c:v>
                </c:pt>
                <c:pt idx="1">
                  <c:v>DSY2 2020</c:v>
                </c:pt>
                <c:pt idx="2">
                  <c:v>DSY3 2020</c:v>
                </c:pt>
                <c:pt idx="3">
                  <c:v>DSY1 2050</c:v>
                </c:pt>
                <c:pt idx="4">
                  <c:v>DSY2 2050</c:v>
                </c:pt>
                <c:pt idx="5">
                  <c:v>DSY3 2050</c:v>
                </c:pt>
              </c:strCache>
            </c:strRef>
          </c:cat>
          <c:val>
            <c:numRef>
              <c:f>[0]!Reference</c:f>
              <c:numCache>
                <c:formatCode>General</c:formatCode>
                <c:ptCount val="6"/>
                <c:pt idx="0">
                  <c:v>34.6</c:v>
                </c:pt>
                <c:pt idx="1">
                  <c:v>38.6</c:v>
                </c:pt>
                <c:pt idx="2">
                  <c:v>35</c:v>
                </c:pt>
                <c:pt idx="3">
                  <c:v>36.4</c:v>
                </c:pt>
                <c:pt idx="4">
                  <c:v>39.9</c:v>
                </c:pt>
                <c:pt idx="5">
                  <c:v>36.299999999999997</c:v>
                </c:pt>
              </c:numCache>
            </c:numRef>
          </c:val>
          <c:smooth val="0"/>
          <c:extLst>
            <c:ext xmlns:c16="http://schemas.microsoft.com/office/drawing/2014/chart" uri="{C3380CC4-5D6E-409C-BE32-E72D297353CC}">
              <c16:uniqueId val="{00000005-50A5-4FBA-9B2D-07096ECCD964}"/>
            </c:ext>
          </c:extLst>
        </c:ser>
        <c:dLbls>
          <c:showLegendKey val="0"/>
          <c:showVal val="0"/>
          <c:showCatName val="0"/>
          <c:showSerName val="0"/>
          <c:showPercent val="0"/>
          <c:showBubbleSize val="0"/>
        </c:dLbls>
        <c:marker val="1"/>
        <c:smooth val="0"/>
        <c:axId val="684566351"/>
        <c:axId val="684565871"/>
      </c:lineChart>
      <c:catAx>
        <c:axId val="65120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5855"/>
        <c:crosses val="autoZero"/>
        <c:auto val="1"/>
        <c:lblAlgn val="ctr"/>
        <c:lblOffset val="100"/>
        <c:noMultiLvlLbl val="0"/>
      </c:catAx>
      <c:valAx>
        <c:axId val="651205855"/>
        <c:scaling>
          <c:orientation val="minMax"/>
          <c:min val="25"/>
        </c:scaling>
        <c:delete val="0"/>
        <c:axPos val="l"/>
        <c:majorGridlines>
          <c:spPr>
            <a:ln w="9525" cap="flat" cmpd="sng" algn="ctr">
              <a:solidFill>
                <a:schemeClr val="tx1">
                  <a:lumMod val="15000"/>
                  <a:lumOff val="85000"/>
                </a:schemeClr>
              </a:solidFill>
              <a:round/>
            </a:ln>
            <a:effectLst/>
          </c:spPr>
        </c:majorGridlines>
        <c:title>
          <c:tx>
            <c:strRef>
              <c:f>Plots!$G$6</c:f>
              <c:strCache>
                <c:ptCount val="1"/>
                <c:pt idx="0">
                  <c:v>Peak Operative Temperature</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7295"/>
        <c:crosses val="autoZero"/>
        <c:crossBetween val="between"/>
      </c:valAx>
      <c:valAx>
        <c:axId val="684565871"/>
        <c:scaling>
          <c:orientation val="minMax"/>
        </c:scaling>
        <c:delete val="1"/>
        <c:axPos val="r"/>
        <c:numFmt formatCode="General" sourceLinked="1"/>
        <c:majorTickMark val="out"/>
        <c:minorTickMark val="none"/>
        <c:tickLblPos val="nextTo"/>
        <c:crossAx val="684566351"/>
        <c:crosses val="max"/>
        <c:crossBetween val="midCat"/>
      </c:valAx>
      <c:catAx>
        <c:axId val="684566351"/>
        <c:scaling>
          <c:orientation val="minMax"/>
        </c:scaling>
        <c:delete val="0"/>
        <c:axPos val="t"/>
        <c:numFmt formatCode="General" sourceLinked="1"/>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565871"/>
        <c:crosses val="max"/>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4"/>
          <c:order val="0"/>
          <c:tx>
            <c:v>Min</c:v>
          </c:tx>
          <c:spPr>
            <a:noFill/>
            <a:ln>
              <a:no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[0]!Centile_0</c:f>
              <c:numCache>
                <c:formatCode>General</c:formatCode>
                <c:ptCount val="6"/>
                <c:pt idx="0">
                  <c:v>29.2</c:v>
                </c:pt>
                <c:pt idx="1">
                  <c:v>30.3</c:v>
                </c:pt>
                <c:pt idx="2">
                  <c:v>29.8</c:v>
                </c:pt>
                <c:pt idx="3">
                  <c:v>30.6</c:v>
                </c:pt>
                <c:pt idx="4">
                  <c:v>31.3</c:v>
                </c:pt>
                <c:pt idx="5">
                  <c:v>30.9</c:v>
                </c:pt>
              </c:numCache>
            </c:numRef>
          </c:val>
          <c:extLst>
            <c:ext xmlns:c16="http://schemas.microsoft.com/office/drawing/2014/chart" uri="{C3380CC4-5D6E-409C-BE32-E72D297353CC}">
              <c16:uniqueId val="{00000000-2CD0-45C1-8297-77C5D6DC82B6}"/>
            </c:ext>
          </c:extLst>
        </c:ser>
        <c:ser>
          <c:idx val="3"/>
          <c:order val="1"/>
          <c:tx>
            <c:v>25th Centile</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[0]!Centile_25</c:f>
              <c:numCache>
                <c:formatCode>General</c:formatCode>
                <c:ptCount val="6"/>
                <c:pt idx="0">
                  <c:v>0.40000000000000213</c:v>
                </c:pt>
                <c:pt idx="1">
                  <c:v>0.39999999999999858</c:v>
                </c:pt>
                <c:pt idx="2">
                  <c:v>0.59999999999999787</c:v>
                </c:pt>
                <c:pt idx="3">
                  <c:v>0.39999999999999858</c:v>
                </c:pt>
                <c:pt idx="4">
                  <c:v>0.39999999999999858</c:v>
                </c:pt>
                <c:pt idx="5">
                  <c:v>0.60000000000000142</c:v>
                </c:pt>
              </c:numCache>
            </c:numRef>
          </c:val>
          <c:extLst>
            <c:ext xmlns:c16="http://schemas.microsoft.com/office/drawing/2014/chart" uri="{C3380CC4-5D6E-409C-BE32-E72D297353CC}">
              <c16:uniqueId val="{00000001-2CD0-45C1-8297-77C5D6DC82B6}"/>
            </c:ext>
          </c:extLst>
        </c:ser>
        <c:ser>
          <c:idx val="2"/>
          <c:order val="2"/>
          <c:tx>
            <c:v>50th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[0]!Centile_50</c:f>
              <c:numCache>
                <c:formatCode>General</c:formatCode>
                <c:ptCount val="6"/>
                <c:pt idx="0">
                  <c:v>9.9999999999997868E-2</c:v>
                </c:pt>
                <c:pt idx="1">
                  <c:v>0.60000000000000142</c:v>
                </c:pt>
                <c:pt idx="2">
                  <c:v>0.10000000000000142</c:v>
                </c:pt>
                <c:pt idx="3">
                  <c:v>0.10000000000000142</c:v>
                </c:pt>
                <c:pt idx="4">
                  <c:v>0.59999999999999787</c:v>
                </c:pt>
                <c:pt idx="5">
                  <c:v>0.10000000000000142</c:v>
                </c:pt>
              </c:numCache>
            </c:numRef>
          </c:val>
          <c:extLst>
            <c:ext xmlns:c16="http://schemas.microsoft.com/office/drawing/2014/chart" uri="{C3380CC4-5D6E-409C-BE32-E72D297353CC}">
              <c16:uniqueId val="{00000002-2CD0-45C1-8297-77C5D6DC82B6}"/>
            </c:ext>
          </c:extLst>
        </c:ser>
        <c:ser>
          <c:idx val="1"/>
          <c:order val="3"/>
          <c:tx>
            <c:v>75th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[0]!Centile_75</c:f>
              <c:numCache>
                <c:formatCode>General</c:formatCode>
                <c:ptCount val="6"/>
                <c:pt idx="0">
                  <c:v>0.90000000000000213</c:v>
                </c:pt>
                <c:pt idx="1">
                  <c:v>0.69999999999999929</c:v>
                </c:pt>
                <c:pt idx="2">
                  <c:v>0.69999999999999929</c:v>
                </c:pt>
                <c:pt idx="3">
                  <c:v>0.89999999999999858</c:v>
                </c:pt>
                <c:pt idx="4">
                  <c:v>0.80000000000000426</c:v>
                </c:pt>
                <c:pt idx="5">
                  <c:v>0.69999999999999574</c:v>
                </c:pt>
              </c:numCache>
            </c:numRef>
          </c:val>
          <c:extLst>
            <c:ext xmlns:c16="http://schemas.microsoft.com/office/drawing/2014/chart" uri="{C3380CC4-5D6E-409C-BE32-E72D297353CC}">
              <c16:uniqueId val="{00000003-2CD0-45C1-8297-77C5D6DC82B6}"/>
            </c:ext>
          </c:extLst>
        </c:ser>
        <c:ser>
          <c:idx val="0"/>
          <c:order val="4"/>
          <c:tx>
            <c:v>Max</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[0]!Centile_100</c:f>
              <c:numCache>
                <c:formatCode>General</c:formatCode>
                <c:ptCount val="6"/>
                <c:pt idx="0">
                  <c:v>0.39999999999999858</c:v>
                </c:pt>
                <c:pt idx="1">
                  <c:v>0.29999999999999716</c:v>
                </c:pt>
                <c:pt idx="2">
                  <c:v>0.40000000000000213</c:v>
                </c:pt>
                <c:pt idx="3">
                  <c:v>0.39999999999999858</c:v>
                </c:pt>
                <c:pt idx="4">
                  <c:v>0.19999999999999574</c:v>
                </c:pt>
                <c:pt idx="5">
                  <c:v>0.40000000000000568</c:v>
                </c:pt>
              </c:numCache>
            </c:numRef>
          </c:val>
          <c:extLst>
            <c:ext xmlns:c16="http://schemas.microsoft.com/office/drawing/2014/chart" uri="{C3380CC4-5D6E-409C-BE32-E72D297353CC}">
              <c16:uniqueId val="{00000004-2CD0-45C1-8297-77C5D6DC82B6}"/>
            </c:ext>
          </c:extLst>
        </c:ser>
        <c:dLbls>
          <c:showLegendKey val="0"/>
          <c:showVal val="0"/>
          <c:showCatName val="0"/>
          <c:showSerName val="0"/>
          <c:showPercent val="0"/>
          <c:showBubbleSize val="0"/>
        </c:dLbls>
        <c:gapWidth val="150"/>
        <c:overlap val="100"/>
        <c:axId val="651207295"/>
        <c:axId val="651205855"/>
      </c:barChart>
      <c:lineChart>
        <c:grouping val="standard"/>
        <c:varyColors val="0"/>
        <c:ser>
          <c:idx val="5"/>
          <c:order val="5"/>
          <c:tx>
            <c:strRef>
              <c:f>Plots!$F$18</c:f>
              <c:strCache>
                <c:ptCount val="1"/>
                <c:pt idx="0">
                  <c:v>Peak Outdoor Air Temperature</c:v>
                </c:pt>
              </c:strCache>
            </c:strRef>
          </c:tx>
          <c:spPr>
            <a:ln w="19050" cap="rnd">
              <a:solidFill>
                <a:srgbClr val="58A618">
                  <a:alpha val="97000"/>
                </a:srgbClr>
              </a:solidFill>
              <a:prstDash val="dash"/>
              <a:round/>
            </a:ln>
            <a:effectLst/>
          </c:spPr>
          <c:marker>
            <c:symbol val="none"/>
          </c:marker>
          <c:cat>
            <c:strRef>
              <c:f>[0]!Plot_Labels</c:f>
              <c:strCache>
                <c:ptCount val="6"/>
                <c:pt idx="0">
                  <c:v>DSY1 2020</c:v>
                </c:pt>
                <c:pt idx="1">
                  <c:v>DSY2 2020</c:v>
                </c:pt>
                <c:pt idx="2">
                  <c:v>DSY3 2020</c:v>
                </c:pt>
                <c:pt idx="3">
                  <c:v>DSY1 2050</c:v>
                </c:pt>
                <c:pt idx="4">
                  <c:v>DSY2 2050</c:v>
                </c:pt>
                <c:pt idx="5">
                  <c:v>DSY3 2050</c:v>
                </c:pt>
              </c:strCache>
            </c:strRef>
          </c:cat>
          <c:val>
            <c:numRef>
              <c:f>[0]!Reference</c:f>
              <c:numCache>
                <c:formatCode>General</c:formatCode>
                <c:ptCount val="6"/>
                <c:pt idx="0">
                  <c:v>34.6</c:v>
                </c:pt>
                <c:pt idx="1">
                  <c:v>38.6</c:v>
                </c:pt>
                <c:pt idx="2">
                  <c:v>35</c:v>
                </c:pt>
                <c:pt idx="3">
                  <c:v>36.4</c:v>
                </c:pt>
                <c:pt idx="4">
                  <c:v>39.9</c:v>
                </c:pt>
                <c:pt idx="5">
                  <c:v>36.299999999999997</c:v>
                </c:pt>
              </c:numCache>
            </c:numRef>
          </c:val>
          <c:smooth val="0"/>
          <c:extLst>
            <c:ext xmlns:c16="http://schemas.microsoft.com/office/drawing/2014/chart" uri="{C3380CC4-5D6E-409C-BE32-E72D297353CC}">
              <c16:uniqueId val="{00000005-2CD0-45C1-8297-77C5D6DC82B6}"/>
            </c:ext>
          </c:extLst>
        </c:ser>
        <c:dLbls>
          <c:showLegendKey val="0"/>
          <c:showVal val="0"/>
          <c:showCatName val="0"/>
          <c:showSerName val="0"/>
          <c:showPercent val="0"/>
          <c:showBubbleSize val="0"/>
        </c:dLbls>
        <c:marker val="1"/>
        <c:smooth val="0"/>
        <c:axId val="684566351"/>
        <c:axId val="684565871"/>
      </c:lineChart>
      <c:catAx>
        <c:axId val="65120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5855"/>
        <c:crosses val="autoZero"/>
        <c:auto val="1"/>
        <c:lblAlgn val="ctr"/>
        <c:lblOffset val="100"/>
        <c:noMultiLvlLbl val="0"/>
      </c:catAx>
      <c:valAx>
        <c:axId val="651205855"/>
        <c:scaling>
          <c:orientation val="minMax"/>
        </c:scaling>
        <c:delete val="0"/>
        <c:axPos val="l"/>
        <c:majorGridlines>
          <c:spPr>
            <a:ln w="9525" cap="flat" cmpd="sng" algn="ctr">
              <a:solidFill>
                <a:schemeClr val="tx1">
                  <a:lumMod val="15000"/>
                  <a:lumOff val="85000"/>
                </a:schemeClr>
              </a:solidFill>
              <a:round/>
            </a:ln>
            <a:effectLst/>
          </c:spPr>
        </c:majorGridlines>
        <c:title>
          <c:tx>
            <c:strRef>
              <c:f>Plots!$G$6</c:f>
              <c:strCache>
                <c:ptCount val="1"/>
                <c:pt idx="0">
                  <c:v>Peak Operative Temperature</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7295"/>
        <c:crosses val="autoZero"/>
        <c:crossBetween val="between"/>
      </c:valAx>
      <c:valAx>
        <c:axId val="684565871"/>
        <c:scaling>
          <c:orientation val="minMax"/>
        </c:scaling>
        <c:delete val="1"/>
        <c:axPos val="r"/>
        <c:numFmt formatCode="General" sourceLinked="1"/>
        <c:majorTickMark val="out"/>
        <c:minorTickMark val="none"/>
        <c:tickLblPos val="nextTo"/>
        <c:crossAx val="684566351"/>
        <c:crosses val="max"/>
        <c:crossBetween val="between"/>
      </c:valAx>
      <c:catAx>
        <c:axId val="684566351"/>
        <c:scaling>
          <c:orientation val="minMax"/>
        </c:scaling>
        <c:delete val="0"/>
        <c:axPos val="t"/>
        <c:numFmt formatCode="General" sourceLinked="1"/>
        <c:majorTickMark val="none"/>
        <c:minorTickMark val="none"/>
        <c:tickLblPos val="none"/>
        <c:spPr>
          <a:noFill/>
          <a:ln w="9525" cap="flat" cmpd="sng" algn="ctr">
            <a:solidFill>
              <a:schemeClr val="tx1">
                <a:lumMod val="15000"/>
                <a:lumOff val="85000"/>
              </a:schemeClr>
            </a:solidFill>
            <a:round/>
          </a:ln>
          <a:effectLst>
            <a:outerShdw blurRad="50800" dist="50800" dir="1800000" algn="ctr" rotWithShape="0">
              <a:srgbClr val="000000">
                <a:alpha val="43137"/>
              </a:srgbClr>
            </a:outerShdw>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565871"/>
        <c:crosses val="max"/>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4"/>
          <c:order val="0"/>
          <c:tx>
            <c:v>Min</c:v>
          </c:tx>
          <c:spPr>
            <a:noFill/>
            <a:ln>
              <a:no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[0]!Centile_0</c:f>
              <c:numCache>
                <c:formatCode>General</c:formatCode>
                <c:ptCount val="6"/>
                <c:pt idx="0">
                  <c:v>29.2</c:v>
                </c:pt>
                <c:pt idx="1">
                  <c:v>30.3</c:v>
                </c:pt>
                <c:pt idx="2">
                  <c:v>29.8</c:v>
                </c:pt>
                <c:pt idx="3">
                  <c:v>30.6</c:v>
                </c:pt>
                <c:pt idx="4">
                  <c:v>31.3</c:v>
                </c:pt>
                <c:pt idx="5">
                  <c:v>30.9</c:v>
                </c:pt>
              </c:numCache>
            </c:numRef>
          </c:val>
          <c:extLst>
            <c:ext xmlns:c16="http://schemas.microsoft.com/office/drawing/2014/chart" uri="{C3380CC4-5D6E-409C-BE32-E72D297353CC}">
              <c16:uniqueId val="{00000000-F3FB-412B-BD57-0D2B03FA3E51}"/>
            </c:ext>
          </c:extLst>
        </c:ser>
        <c:ser>
          <c:idx val="3"/>
          <c:order val="1"/>
          <c:tx>
            <c:v>25th Centile</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[0]!Centile_25</c:f>
              <c:numCache>
                <c:formatCode>General</c:formatCode>
                <c:ptCount val="6"/>
                <c:pt idx="0">
                  <c:v>0.40000000000000213</c:v>
                </c:pt>
                <c:pt idx="1">
                  <c:v>0.39999999999999858</c:v>
                </c:pt>
                <c:pt idx="2">
                  <c:v>0.59999999999999787</c:v>
                </c:pt>
                <c:pt idx="3">
                  <c:v>0.39999999999999858</c:v>
                </c:pt>
                <c:pt idx="4">
                  <c:v>0.39999999999999858</c:v>
                </c:pt>
                <c:pt idx="5">
                  <c:v>0.60000000000000142</c:v>
                </c:pt>
              </c:numCache>
            </c:numRef>
          </c:val>
          <c:extLst>
            <c:ext xmlns:c16="http://schemas.microsoft.com/office/drawing/2014/chart" uri="{C3380CC4-5D6E-409C-BE32-E72D297353CC}">
              <c16:uniqueId val="{00000001-F3FB-412B-BD57-0D2B03FA3E51}"/>
            </c:ext>
          </c:extLst>
        </c:ser>
        <c:ser>
          <c:idx val="2"/>
          <c:order val="2"/>
          <c:tx>
            <c:v>50th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[0]!Centile_50</c:f>
              <c:numCache>
                <c:formatCode>General</c:formatCode>
                <c:ptCount val="6"/>
                <c:pt idx="0">
                  <c:v>9.9999999999997868E-2</c:v>
                </c:pt>
                <c:pt idx="1">
                  <c:v>0.60000000000000142</c:v>
                </c:pt>
                <c:pt idx="2">
                  <c:v>0.10000000000000142</c:v>
                </c:pt>
                <c:pt idx="3">
                  <c:v>0.10000000000000142</c:v>
                </c:pt>
                <c:pt idx="4">
                  <c:v>0.59999999999999787</c:v>
                </c:pt>
                <c:pt idx="5">
                  <c:v>0.10000000000000142</c:v>
                </c:pt>
              </c:numCache>
            </c:numRef>
          </c:val>
          <c:extLst>
            <c:ext xmlns:c16="http://schemas.microsoft.com/office/drawing/2014/chart" uri="{C3380CC4-5D6E-409C-BE32-E72D297353CC}">
              <c16:uniqueId val="{00000002-F3FB-412B-BD57-0D2B03FA3E51}"/>
            </c:ext>
          </c:extLst>
        </c:ser>
        <c:ser>
          <c:idx val="1"/>
          <c:order val="3"/>
          <c:tx>
            <c:v>75th Centile</c:v>
          </c:tx>
          <c:spPr>
            <a:solidFill>
              <a:srgbClr val="58A618"/>
            </a:solidFill>
            <a:ln w="6350">
              <a:solidFill>
                <a:schemeClr val="tx1"/>
              </a:solidFill>
            </a:ln>
            <a:effectLst/>
          </c:spPr>
          <c:invertIfNegative val="0"/>
          <c:cat>
            <c:strRef>
              <c:f>[0]!Plot_Labels</c:f>
              <c:strCache>
                <c:ptCount val="6"/>
                <c:pt idx="0">
                  <c:v>DSY1 2020</c:v>
                </c:pt>
                <c:pt idx="1">
                  <c:v>DSY2 2020</c:v>
                </c:pt>
                <c:pt idx="2">
                  <c:v>DSY3 2020</c:v>
                </c:pt>
                <c:pt idx="3">
                  <c:v>DSY1 2050</c:v>
                </c:pt>
                <c:pt idx="4">
                  <c:v>DSY2 2050</c:v>
                </c:pt>
                <c:pt idx="5">
                  <c:v>DSY3 2050</c:v>
                </c:pt>
              </c:strCache>
            </c:strRef>
          </c:cat>
          <c:val>
            <c:numRef>
              <c:f>[0]!Centile_75</c:f>
              <c:numCache>
                <c:formatCode>General</c:formatCode>
                <c:ptCount val="6"/>
                <c:pt idx="0">
                  <c:v>0.90000000000000213</c:v>
                </c:pt>
                <c:pt idx="1">
                  <c:v>0.69999999999999929</c:v>
                </c:pt>
                <c:pt idx="2">
                  <c:v>0.69999999999999929</c:v>
                </c:pt>
                <c:pt idx="3">
                  <c:v>0.89999999999999858</c:v>
                </c:pt>
                <c:pt idx="4">
                  <c:v>0.80000000000000426</c:v>
                </c:pt>
                <c:pt idx="5">
                  <c:v>0.69999999999999574</c:v>
                </c:pt>
              </c:numCache>
            </c:numRef>
          </c:val>
          <c:extLst>
            <c:ext xmlns:c16="http://schemas.microsoft.com/office/drawing/2014/chart" uri="{C3380CC4-5D6E-409C-BE32-E72D297353CC}">
              <c16:uniqueId val="{00000003-F3FB-412B-BD57-0D2B03FA3E51}"/>
            </c:ext>
          </c:extLst>
        </c:ser>
        <c:ser>
          <c:idx val="0"/>
          <c:order val="4"/>
          <c:tx>
            <c:v>Max</c:v>
          </c:tx>
          <c:spPr>
            <a:noFill/>
            <a:ln>
              <a:noFill/>
            </a:ln>
            <a:effectLst/>
          </c:spPr>
          <c:invertIfNegative val="0"/>
          <c:errBars>
            <c:errBarType val="minus"/>
            <c:errValType val="percentage"/>
            <c:noEndCap val="1"/>
            <c:val val="100"/>
            <c:spPr>
              <a:noFill/>
              <a:ln w="9525" cap="flat" cmpd="sng" algn="ctr">
                <a:solidFill>
                  <a:schemeClr val="tx1">
                    <a:lumMod val="65000"/>
                    <a:lumOff val="35000"/>
                  </a:schemeClr>
                </a:solidFill>
                <a:round/>
              </a:ln>
              <a:effectLst/>
            </c:spPr>
          </c:errBars>
          <c:cat>
            <c:strRef>
              <c:f>[0]!Plot_Labels</c:f>
              <c:strCache>
                <c:ptCount val="6"/>
                <c:pt idx="0">
                  <c:v>DSY1 2020</c:v>
                </c:pt>
                <c:pt idx="1">
                  <c:v>DSY2 2020</c:v>
                </c:pt>
                <c:pt idx="2">
                  <c:v>DSY3 2020</c:v>
                </c:pt>
                <c:pt idx="3">
                  <c:v>DSY1 2050</c:v>
                </c:pt>
                <c:pt idx="4">
                  <c:v>DSY2 2050</c:v>
                </c:pt>
                <c:pt idx="5">
                  <c:v>DSY3 2050</c:v>
                </c:pt>
              </c:strCache>
            </c:strRef>
          </c:cat>
          <c:val>
            <c:numRef>
              <c:f>[0]!Centile_100</c:f>
              <c:numCache>
                <c:formatCode>General</c:formatCode>
                <c:ptCount val="6"/>
                <c:pt idx="0">
                  <c:v>0.39999999999999858</c:v>
                </c:pt>
                <c:pt idx="1">
                  <c:v>0.29999999999999716</c:v>
                </c:pt>
                <c:pt idx="2">
                  <c:v>0.40000000000000213</c:v>
                </c:pt>
                <c:pt idx="3">
                  <c:v>0.39999999999999858</c:v>
                </c:pt>
                <c:pt idx="4">
                  <c:v>0.19999999999999574</c:v>
                </c:pt>
                <c:pt idx="5">
                  <c:v>0.40000000000000568</c:v>
                </c:pt>
              </c:numCache>
            </c:numRef>
          </c:val>
          <c:extLst>
            <c:ext xmlns:c16="http://schemas.microsoft.com/office/drawing/2014/chart" uri="{C3380CC4-5D6E-409C-BE32-E72D297353CC}">
              <c16:uniqueId val="{00000004-F3FB-412B-BD57-0D2B03FA3E51}"/>
            </c:ext>
          </c:extLst>
        </c:ser>
        <c:dLbls>
          <c:showLegendKey val="0"/>
          <c:showVal val="0"/>
          <c:showCatName val="0"/>
          <c:showSerName val="0"/>
          <c:showPercent val="0"/>
          <c:showBubbleSize val="0"/>
        </c:dLbls>
        <c:gapWidth val="150"/>
        <c:overlap val="100"/>
        <c:axId val="651207295"/>
        <c:axId val="651205855"/>
      </c:barChart>
      <c:lineChart>
        <c:grouping val="standard"/>
        <c:varyColors val="0"/>
        <c:ser>
          <c:idx val="5"/>
          <c:order val="5"/>
          <c:tx>
            <c:strRef>
              <c:f>Plots!$F$18</c:f>
              <c:strCache>
                <c:ptCount val="1"/>
                <c:pt idx="0">
                  <c:v>Peak Outdoor Air Temperature</c:v>
                </c:pt>
              </c:strCache>
            </c:strRef>
          </c:tx>
          <c:spPr>
            <a:ln w="19050" cap="rnd">
              <a:solidFill>
                <a:srgbClr val="58A618"/>
              </a:solidFill>
              <a:prstDash val="dash"/>
              <a:round/>
            </a:ln>
            <a:effectLst/>
          </c:spPr>
          <c:marker>
            <c:symbol val="none"/>
          </c:marker>
          <c:cat>
            <c:strRef>
              <c:f>[0]!Plot_Labels</c:f>
              <c:strCache>
                <c:ptCount val="6"/>
                <c:pt idx="0">
                  <c:v>DSY1 2020</c:v>
                </c:pt>
                <c:pt idx="1">
                  <c:v>DSY2 2020</c:v>
                </c:pt>
                <c:pt idx="2">
                  <c:v>DSY3 2020</c:v>
                </c:pt>
                <c:pt idx="3">
                  <c:v>DSY1 2050</c:v>
                </c:pt>
                <c:pt idx="4">
                  <c:v>DSY2 2050</c:v>
                </c:pt>
                <c:pt idx="5">
                  <c:v>DSY3 2050</c:v>
                </c:pt>
              </c:strCache>
            </c:strRef>
          </c:cat>
          <c:val>
            <c:numRef>
              <c:f>[0]!Reference</c:f>
              <c:numCache>
                <c:formatCode>General</c:formatCode>
                <c:ptCount val="6"/>
                <c:pt idx="0">
                  <c:v>34.6</c:v>
                </c:pt>
                <c:pt idx="1">
                  <c:v>38.6</c:v>
                </c:pt>
                <c:pt idx="2">
                  <c:v>35</c:v>
                </c:pt>
                <c:pt idx="3">
                  <c:v>36.4</c:v>
                </c:pt>
                <c:pt idx="4">
                  <c:v>39.9</c:v>
                </c:pt>
                <c:pt idx="5">
                  <c:v>36.299999999999997</c:v>
                </c:pt>
              </c:numCache>
            </c:numRef>
          </c:val>
          <c:smooth val="0"/>
          <c:extLst>
            <c:ext xmlns:c16="http://schemas.microsoft.com/office/drawing/2014/chart" uri="{C3380CC4-5D6E-409C-BE32-E72D297353CC}">
              <c16:uniqueId val="{00000005-F3FB-412B-BD57-0D2B03FA3E51}"/>
            </c:ext>
          </c:extLst>
        </c:ser>
        <c:dLbls>
          <c:showLegendKey val="0"/>
          <c:showVal val="0"/>
          <c:showCatName val="0"/>
          <c:showSerName val="0"/>
          <c:showPercent val="0"/>
          <c:showBubbleSize val="0"/>
        </c:dLbls>
        <c:marker val="1"/>
        <c:smooth val="0"/>
        <c:axId val="684566351"/>
        <c:axId val="684565871"/>
      </c:lineChart>
      <c:catAx>
        <c:axId val="65120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5855"/>
        <c:crosses val="autoZero"/>
        <c:auto val="1"/>
        <c:lblAlgn val="ctr"/>
        <c:lblOffset val="100"/>
        <c:noMultiLvlLbl val="0"/>
      </c:catAx>
      <c:valAx>
        <c:axId val="651205855"/>
        <c:scaling>
          <c:orientation val="minMax"/>
          <c:min val="25"/>
        </c:scaling>
        <c:delete val="0"/>
        <c:axPos val="l"/>
        <c:majorGridlines>
          <c:spPr>
            <a:ln w="9525" cap="flat" cmpd="sng" algn="ctr">
              <a:solidFill>
                <a:schemeClr val="tx1">
                  <a:lumMod val="15000"/>
                  <a:lumOff val="85000"/>
                </a:schemeClr>
              </a:solidFill>
              <a:round/>
            </a:ln>
            <a:effectLst/>
          </c:spPr>
        </c:majorGridlines>
        <c:title>
          <c:tx>
            <c:strRef>
              <c:f>Plots!$G$6</c:f>
              <c:strCache>
                <c:ptCount val="1"/>
                <c:pt idx="0">
                  <c:v>Peak Operative Temperature</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207295"/>
        <c:crosses val="autoZero"/>
        <c:crossBetween val="between"/>
      </c:valAx>
      <c:valAx>
        <c:axId val="684565871"/>
        <c:scaling>
          <c:orientation val="minMax"/>
        </c:scaling>
        <c:delete val="1"/>
        <c:axPos val="r"/>
        <c:numFmt formatCode="General" sourceLinked="1"/>
        <c:majorTickMark val="out"/>
        <c:minorTickMark val="none"/>
        <c:tickLblPos val="nextTo"/>
        <c:crossAx val="684566351"/>
        <c:crosses val="max"/>
        <c:crossBetween val="between"/>
      </c:valAx>
      <c:catAx>
        <c:axId val="684566351"/>
        <c:scaling>
          <c:orientation val="minMax"/>
        </c:scaling>
        <c:delete val="0"/>
        <c:axPos val="t"/>
        <c:numFmt formatCode="General" sourceLinked="1"/>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4565871"/>
        <c:crosses val="max"/>
        <c:auto val="1"/>
        <c:lblAlgn val="ctr"/>
        <c:lblOffset val="100"/>
        <c:noMultiLvlLbl val="0"/>
      </c:catAx>
      <c:spPr>
        <a:noFill/>
        <a:ln>
          <a:noFill/>
        </a:ln>
        <a:effectLst/>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absoluteAnchor>
    <xdr:pos x="7019925" y="47625"/>
    <xdr:ext cx="2637065" cy="575582"/>
    <xdr:pic>
      <xdr:nvPicPr>
        <xdr:cNvPr id="2" name="Picture 1" descr="C:\Documents and Settings\Patrick\My Documents\A10_logo.jpg">
          <a:extLst>
            <a:ext uri="{FF2B5EF4-FFF2-40B4-BE49-F238E27FC236}">
              <a16:creationId xmlns:a16="http://schemas.microsoft.com/office/drawing/2014/main" id="{F9397521-0386-43C7-BC42-95826D95E59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9925" y="47625"/>
          <a:ext cx="2637065" cy="575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1</xdr:col>
      <xdr:colOff>160020</xdr:colOff>
      <xdr:row>1</xdr:row>
      <xdr:rowOff>15240</xdr:rowOff>
    </xdr:from>
    <xdr:to>
      <xdr:col>1</xdr:col>
      <xdr:colOff>553720</xdr:colOff>
      <xdr:row>3</xdr:row>
      <xdr:rowOff>34925</xdr:rowOff>
    </xdr:to>
    <xdr:pic>
      <xdr:nvPicPr>
        <xdr:cNvPr id="2" name="Picture 1" descr="Icon&#10;&#10;Description automatically generated">
          <a:extLst>
            <a:ext uri="{FF2B5EF4-FFF2-40B4-BE49-F238E27FC236}">
              <a16:creationId xmlns:a16="http://schemas.microsoft.com/office/drawing/2014/main" id="{8163D8CF-2D15-839C-B38A-B479AA23F5E6}"/>
            </a:ext>
          </a:extLst>
        </xdr:cNvPr>
        <xdr:cNvPicPr>
          <a:picLocks noChangeAspect="1"/>
        </xdr:cNvPicPr>
      </xdr:nvPicPr>
      <xdr:blipFill>
        <a:blip xmlns:r="http://schemas.openxmlformats.org/officeDocument/2006/relationships" r:embed="rId1"/>
        <a:stretch>
          <a:fillRect/>
        </a:stretch>
      </xdr:blipFill>
      <xdr:spPr>
        <a:xfrm>
          <a:off x="1874520" y="205740"/>
          <a:ext cx="389890" cy="393065"/>
        </a:xfrm>
        <a:prstGeom prst="rect">
          <a:avLst/>
        </a:prstGeom>
      </xdr:spPr>
    </xdr:pic>
    <xdr:clientData/>
  </xdr:twoCellAnchor>
  <xdr:twoCellAnchor editAs="oneCell">
    <xdr:from>
      <xdr:col>1</xdr:col>
      <xdr:colOff>152400</xdr:colOff>
      <xdr:row>4</xdr:row>
      <xdr:rowOff>7620</xdr:rowOff>
    </xdr:from>
    <xdr:to>
      <xdr:col>1</xdr:col>
      <xdr:colOff>549910</xdr:colOff>
      <xdr:row>6</xdr:row>
      <xdr:rowOff>34925</xdr:rowOff>
    </xdr:to>
    <xdr:pic>
      <xdr:nvPicPr>
        <xdr:cNvPr id="3" name="Picture 2" descr="Icon&#10;&#10;Description automatically generated">
          <a:extLst>
            <a:ext uri="{FF2B5EF4-FFF2-40B4-BE49-F238E27FC236}">
              <a16:creationId xmlns:a16="http://schemas.microsoft.com/office/drawing/2014/main" id="{6E305219-85C8-62CE-C1C5-DD1E6417BED8}"/>
            </a:ext>
          </a:extLst>
        </xdr:cNvPr>
        <xdr:cNvPicPr>
          <a:picLocks noChangeAspect="1"/>
        </xdr:cNvPicPr>
      </xdr:nvPicPr>
      <xdr:blipFill>
        <a:blip xmlns:r="http://schemas.openxmlformats.org/officeDocument/2006/relationships" r:embed="rId2"/>
        <a:stretch>
          <a:fillRect/>
        </a:stretch>
      </xdr:blipFill>
      <xdr:spPr>
        <a:xfrm>
          <a:off x="1866900" y="754380"/>
          <a:ext cx="389890" cy="3930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15875</xdr:colOff>
      <xdr:row>9</xdr:row>
      <xdr:rowOff>203200</xdr:rowOff>
    </xdr:from>
    <xdr:to>
      <xdr:col>13</xdr:col>
      <xdr:colOff>320675</xdr:colOff>
      <xdr:row>9</xdr:row>
      <xdr:rowOff>2946400</xdr:rowOff>
    </xdr:to>
    <xdr:graphicFrame macro="">
      <xdr:nvGraphicFramePr>
        <xdr:cNvPr id="2" name="Chart 1">
          <a:extLst>
            <a:ext uri="{FF2B5EF4-FFF2-40B4-BE49-F238E27FC236}">
              <a16:creationId xmlns:a16="http://schemas.microsoft.com/office/drawing/2014/main" id="{59291A2C-0739-AA6A-0D40-9AFA8D98C1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406400</xdr:colOff>
      <xdr:row>9</xdr:row>
      <xdr:rowOff>241300</xdr:rowOff>
    </xdr:from>
    <xdr:to>
      <xdr:col>21</xdr:col>
      <xdr:colOff>101600</xdr:colOff>
      <xdr:row>9</xdr:row>
      <xdr:rowOff>2984500</xdr:rowOff>
    </xdr:to>
    <xdr:graphicFrame macro="">
      <xdr:nvGraphicFramePr>
        <xdr:cNvPr id="3" name="Chart 2">
          <a:extLst>
            <a:ext uri="{FF2B5EF4-FFF2-40B4-BE49-F238E27FC236}">
              <a16:creationId xmlns:a16="http://schemas.microsoft.com/office/drawing/2014/main" id="{AA4E44B8-4D6E-464F-9904-BA8FE65F56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60216</xdr:colOff>
      <xdr:row>9</xdr:row>
      <xdr:rowOff>2934139</xdr:rowOff>
    </xdr:from>
    <xdr:to>
      <xdr:col>13</xdr:col>
      <xdr:colOff>365016</xdr:colOff>
      <xdr:row>22</xdr:row>
      <xdr:rowOff>28028</xdr:rowOff>
    </xdr:to>
    <xdr:graphicFrame macro="">
      <xdr:nvGraphicFramePr>
        <xdr:cNvPr id="4" name="Chart 3">
          <a:extLst>
            <a:ext uri="{FF2B5EF4-FFF2-40B4-BE49-F238E27FC236}">
              <a16:creationId xmlns:a16="http://schemas.microsoft.com/office/drawing/2014/main" id="{F76A3988-9522-4A19-AE04-B9F878E05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353786</xdr:colOff>
      <xdr:row>9</xdr:row>
      <xdr:rowOff>2993571</xdr:rowOff>
    </xdr:from>
    <xdr:to>
      <xdr:col>21</xdr:col>
      <xdr:colOff>48986</xdr:colOff>
      <xdr:row>22</xdr:row>
      <xdr:rowOff>139700</xdr:rowOff>
    </xdr:to>
    <xdr:graphicFrame macro="">
      <xdr:nvGraphicFramePr>
        <xdr:cNvPr id="5" name="Chart 4">
          <a:extLst>
            <a:ext uri="{FF2B5EF4-FFF2-40B4-BE49-F238E27FC236}">
              <a16:creationId xmlns:a16="http://schemas.microsoft.com/office/drawing/2014/main" id="{8452292B-1A33-4A02-9731-D9F9E08B5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DEBB9-326A-4005-89B7-933351EDA4C5}">
  <sheetPr codeName="Sheet5"/>
  <dimension ref="A1:P65"/>
  <sheetViews>
    <sheetView workbookViewId="0"/>
  </sheetViews>
  <sheetFormatPr defaultRowHeight="13.5" x14ac:dyDescent="0.25"/>
  <cols>
    <col min="1" max="1" width="48" style="54" bestFit="1" customWidth="1"/>
    <col min="2" max="2" width="17.42578125" style="54" customWidth="1"/>
    <col min="3" max="3" width="12.42578125" style="54" customWidth="1"/>
    <col min="4" max="4" width="14.42578125" style="54" customWidth="1"/>
    <col min="5" max="5" width="11.5703125" style="54" customWidth="1"/>
    <col min="6" max="6" width="13.42578125" style="54" customWidth="1"/>
    <col min="7" max="7" width="8.85546875" style="54"/>
    <col min="8" max="8" width="11.5703125" style="54" customWidth="1"/>
    <col min="9" max="9" width="8.85546875" style="54"/>
    <col min="10" max="10" width="15" style="54" bestFit="1" customWidth="1"/>
    <col min="11" max="11" width="8.85546875" style="54"/>
    <col min="12" max="12" width="15.42578125" style="54" customWidth="1"/>
    <col min="13" max="254" width="8.85546875" style="54"/>
    <col min="255" max="255" width="27.42578125" style="54" customWidth="1"/>
    <col min="256" max="256" width="16" style="54" customWidth="1"/>
    <col min="257" max="257" width="12.42578125" style="54" customWidth="1"/>
    <col min="258" max="258" width="14.42578125" style="54" customWidth="1"/>
    <col min="259" max="259" width="11.5703125" style="54" customWidth="1"/>
    <col min="260" max="261" width="8.85546875" style="54"/>
    <col min="262" max="262" width="11.5703125" style="54" customWidth="1"/>
    <col min="263" max="263" width="8.85546875" style="54"/>
    <col min="264" max="264" width="11.5703125" style="54" customWidth="1"/>
    <col min="265" max="510" width="8.85546875" style="54"/>
    <col min="511" max="511" width="27.42578125" style="54" customWidth="1"/>
    <col min="512" max="512" width="16" style="54" customWidth="1"/>
    <col min="513" max="513" width="12.42578125" style="54" customWidth="1"/>
    <col min="514" max="514" width="14.42578125" style="54" customWidth="1"/>
    <col min="515" max="515" width="11.5703125" style="54" customWidth="1"/>
    <col min="516" max="517" width="8.85546875" style="54"/>
    <col min="518" max="518" width="11.5703125" style="54" customWidth="1"/>
    <col min="519" max="519" width="8.85546875" style="54"/>
    <col min="520" max="520" width="11.5703125" style="54" customWidth="1"/>
    <col min="521" max="766" width="8.85546875" style="54"/>
    <col min="767" max="767" width="27.42578125" style="54" customWidth="1"/>
    <col min="768" max="768" width="16" style="54" customWidth="1"/>
    <col min="769" max="769" width="12.42578125" style="54" customWidth="1"/>
    <col min="770" max="770" width="14.42578125" style="54" customWidth="1"/>
    <col min="771" max="771" width="11.5703125" style="54" customWidth="1"/>
    <col min="772" max="773" width="8.85546875" style="54"/>
    <col min="774" max="774" width="11.5703125" style="54" customWidth="1"/>
    <col min="775" max="775" width="8.85546875" style="54"/>
    <col min="776" max="776" width="11.5703125" style="54" customWidth="1"/>
    <col min="777" max="1022" width="8.85546875" style="54"/>
    <col min="1023" max="1023" width="27.42578125" style="54" customWidth="1"/>
    <col min="1024" max="1024" width="16" style="54" customWidth="1"/>
    <col min="1025" max="1025" width="12.42578125" style="54" customWidth="1"/>
    <col min="1026" max="1026" width="14.42578125" style="54" customWidth="1"/>
    <col min="1027" max="1027" width="11.5703125" style="54" customWidth="1"/>
    <col min="1028" max="1029" width="8.85546875" style="54"/>
    <col min="1030" max="1030" width="11.5703125" style="54" customWidth="1"/>
    <col min="1031" max="1031" width="8.85546875" style="54"/>
    <col min="1032" max="1032" width="11.5703125" style="54" customWidth="1"/>
    <col min="1033" max="1278" width="8.85546875" style="54"/>
    <col min="1279" max="1279" width="27.42578125" style="54" customWidth="1"/>
    <col min="1280" max="1280" width="16" style="54" customWidth="1"/>
    <col min="1281" max="1281" width="12.42578125" style="54" customWidth="1"/>
    <col min="1282" max="1282" width="14.42578125" style="54" customWidth="1"/>
    <col min="1283" max="1283" width="11.5703125" style="54" customWidth="1"/>
    <col min="1284" max="1285" width="8.85546875" style="54"/>
    <col min="1286" max="1286" width="11.5703125" style="54" customWidth="1"/>
    <col min="1287" max="1287" width="8.85546875" style="54"/>
    <col min="1288" max="1288" width="11.5703125" style="54" customWidth="1"/>
    <col min="1289" max="1534" width="8.85546875" style="54"/>
    <col min="1535" max="1535" width="27.42578125" style="54" customWidth="1"/>
    <col min="1536" max="1536" width="16" style="54" customWidth="1"/>
    <col min="1537" max="1537" width="12.42578125" style="54" customWidth="1"/>
    <col min="1538" max="1538" width="14.42578125" style="54" customWidth="1"/>
    <col min="1539" max="1539" width="11.5703125" style="54" customWidth="1"/>
    <col min="1540" max="1541" width="8.85546875" style="54"/>
    <col min="1542" max="1542" width="11.5703125" style="54" customWidth="1"/>
    <col min="1543" max="1543" width="8.85546875" style="54"/>
    <col min="1544" max="1544" width="11.5703125" style="54" customWidth="1"/>
    <col min="1545" max="1790" width="8.85546875" style="54"/>
    <col min="1791" max="1791" width="27.42578125" style="54" customWidth="1"/>
    <col min="1792" max="1792" width="16" style="54" customWidth="1"/>
    <col min="1793" max="1793" width="12.42578125" style="54" customWidth="1"/>
    <col min="1794" max="1794" width="14.42578125" style="54" customWidth="1"/>
    <col min="1795" max="1795" width="11.5703125" style="54" customWidth="1"/>
    <col min="1796" max="1797" width="8.85546875" style="54"/>
    <col min="1798" max="1798" width="11.5703125" style="54" customWidth="1"/>
    <col min="1799" max="1799" width="8.85546875" style="54"/>
    <col min="1800" max="1800" width="11.5703125" style="54" customWidth="1"/>
    <col min="1801" max="2046" width="8.85546875" style="54"/>
    <col min="2047" max="2047" width="27.42578125" style="54" customWidth="1"/>
    <col min="2048" max="2048" width="16" style="54" customWidth="1"/>
    <col min="2049" max="2049" width="12.42578125" style="54" customWidth="1"/>
    <col min="2050" max="2050" width="14.42578125" style="54" customWidth="1"/>
    <col min="2051" max="2051" width="11.5703125" style="54" customWidth="1"/>
    <col min="2052" max="2053" width="8.85546875" style="54"/>
    <col min="2054" max="2054" width="11.5703125" style="54" customWidth="1"/>
    <col min="2055" max="2055" width="8.85546875" style="54"/>
    <col min="2056" max="2056" width="11.5703125" style="54" customWidth="1"/>
    <col min="2057" max="2302" width="8.85546875" style="54"/>
    <col min="2303" max="2303" width="27.42578125" style="54" customWidth="1"/>
    <col min="2304" max="2304" width="16" style="54" customWidth="1"/>
    <col min="2305" max="2305" width="12.42578125" style="54" customWidth="1"/>
    <col min="2306" max="2306" width="14.42578125" style="54" customWidth="1"/>
    <col min="2307" max="2307" width="11.5703125" style="54" customWidth="1"/>
    <col min="2308" max="2309" width="8.85546875" style="54"/>
    <col min="2310" max="2310" width="11.5703125" style="54" customWidth="1"/>
    <col min="2311" max="2311" width="8.85546875" style="54"/>
    <col min="2312" max="2312" width="11.5703125" style="54" customWidth="1"/>
    <col min="2313" max="2558" width="8.85546875" style="54"/>
    <col min="2559" max="2559" width="27.42578125" style="54" customWidth="1"/>
    <col min="2560" max="2560" width="16" style="54" customWidth="1"/>
    <col min="2561" max="2561" width="12.42578125" style="54" customWidth="1"/>
    <col min="2562" max="2562" width="14.42578125" style="54" customWidth="1"/>
    <col min="2563" max="2563" width="11.5703125" style="54" customWidth="1"/>
    <col min="2564" max="2565" width="8.85546875" style="54"/>
    <col min="2566" max="2566" width="11.5703125" style="54" customWidth="1"/>
    <col min="2567" max="2567" width="8.85546875" style="54"/>
    <col min="2568" max="2568" width="11.5703125" style="54" customWidth="1"/>
    <col min="2569" max="2814" width="8.85546875" style="54"/>
    <col min="2815" max="2815" width="27.42578125" style="54" customWidth="1"/>
    <col min="2816" max="2816" width="16" style="54" customWidth="1"/>
    <col min="2817" max="2817" width="12.42578125" style="54" customWidth="1"/>
    <col min="2818" max="2818" width="14.42578125" style="54" customWidth="1"/>
    <col min="2819" max="2819" width="11.5703125" style="54" customWidth="1"/>
    <col min="2820" max="2821" width="8.85546875" style="54"/>
    <col min="2822" max="2822" width="11.5703125" style="54" customWidth="1"/>
    <col min="2823" max="2823" width="8.85546875" style="54"/>
    <col min="2824" max="2824" width="11.5703125" style="54" customWidth="1"/>
    <col min="2825" max="3070" width="8.85546875" style="54"/>
    <col min="3071" max="3071" width="27.42578125" style="54" customWidth="1"/>
    <col min="3072" max="3072" width="16" style="54" customWidth="1"/>
    <col min="3073" max="3073" width="12.42578125" style="54" customWidth="1"/>
    <col min="3074" max="3074" width="14.42578125" style="54" customWidth="1"/>
    <col min="3075" max="3075" width="11.5703125" style="54" customWidth="1"/>
    <col min="3076" max="3077" width="8.85546875" style="54"/>
    <col min="3078" max="3078" width="11.5703125" style="54" customWidth="1"/>
    <col min="3079" max="3079" width="8.85546875" style="54"/>
    <col min="3080" max="3080" width="11.5703125" style="54" customWidth="1"/>
    <col min="3081" max="3326" width="8.85546875" style="54"/>
    <col min="3327" max="3327" width="27.42578125" style="54" customWidth="1"/>
    <col min="3328" max="3328" width="16" style="54" customWidth="1"/>
    <col min="3329" max="3329" width="12.42578125" style="54" customWidth="1"/>
    <col min="3330" max="3330" width="14.42578125" style="54" customWidth="1"/>
    <col min="3331" max="3331" width="11.5703125" style="54" customWidth="1"/>
    <col min="3332" max="3333" width="8.85546875" style="54"/>
    <col min="3334" max="3334" width="11.5703125" style="54" customWidth="1"/>
    <col min="3335" max="3335" width="8.85546875" style="54"/>
    <col min="3336" max="3336" width="11.5703125" style="54" customWidth="1"/>
    <col min="3337" max="3582" width="8.85546875" style="54"/>
    <col min="3583" max="3583" width="27.42578125" style="54" customWidth="1"/>
    <col min="3584" max="3584" width="16" style="54" customWidth="1"/>
    <col min="3585" max="3585" width="12.42578125" style="54" customWidth="1"/>
    <col min="3586" max="3586" width="14.42578125" style="54" customWidth="1"/>
    <col min="3587" max="3587" width="11.5703125" style="54" customWidth="1"/>
    <col min="3588" max="3589" width="8.85546875" style="54"/>
    <col min="3590" max="3590" width="11.5703125" style="54" customWidth="1"/>
    <col min="3591" max="3591" width="8.85546875" style="54"/>
    <col min="3592" max="3592" width="11.5703125" style="54" customWidth="1"/>
    <col min="3593" max="3838" width="8.85546875" style="54"/>
    <col min="3839" max="3839" width="27.42578125" style="54" customWidth="1"/>
    <col min="3840" max="3840" width="16" style="54" customWidth="1"/>
    <col min="3841" max="3841" width="12.42578125" style="54" customWidth="1"/>
    <col min="3842" max="3842" width="14.42578125" style="54" customWidth="1"/>
    <col min="3843" max="3843" width="11.5703125" style="54" customWidth="1"/>
    <col min="3844" max="3845" width="8.85546875" style="54"/>
    <col min="3846" max="3846" width="11.5703125" style="54" customWidth="1"/>
    <col min="3847" max="3847" width="8.85546875" style="54"/>
    <col min="3848" max="3848" width="11.5703125" style="54" customWidth="1"/>
    <col min="3849" max="4094" width="8.85546875" style="54"/>
    <col min="4095" max="4095" width="27.42578125" style="54" customWidth="1"/>
    <col min="4096" max="4096" width="16" style="54" customWidth="1"/>
    <col min="4097" max="4097" width="12.42578125" style="54" customWidth="1"/>
    <col min="4098" max="4098" width="14.42578125" style="54" customWidth="1"/>
    <col min="4099" max="4099" width="11.5703125" style="54" customWidth="1"/>
    <col min="4100" max="4101" width="8.85546875" style="54"/>
    <col min="4102" max="4102" width="11.5703125" style="54" customWidth="1"/>
    <col min="4103" max="4103" width="8.85546875" style="54"/>
    <col min="4104" max="4104" width="11.5703125" style="54" customWidth="1"/>
    <col min="4105" max="4350" width="8.85546875" style="54"/>
    <col min="4351" max="4351" width="27.42578125" style="54" customWidth="1"/>
    <col min="4352" max="4352" width="16" style="54" customWidth="1"/>
    <col min="4353" max="4353" width="12.42578125" style="54" customWidth="1"/>
    <col min="4354" max="4354" width="14.42578125" style="54" customWidth="1"/>
    <col min="4355" max="4355" width="11.5703125" style="54" customWidth="1"/>
    <col min="4356" max="4357" width="8.85546875" style="54"/>
    <col min="4358" max="4358" width="11.5703125" style="54" customWidth="1"/>
    <col min="4359" max="4359" width="8.85546875" style="54"/>
    <col min="4360" max="4360" width="11.5703125" style="54" customWidth="1"/>
    <col min="4361" max="4606" width="8.85546875" style="54"/>
    <col min="4607" max="4607" width="27.42578125" style="54" customWidth="1"/>
    <col min="4608" max="4608" width="16" style="54" customWidth="1"/>
    <col min="4609" max="4609" width="12.42578125" style="54" customWidth="1"/>
    <col min="4610" max="4610" width="14.42578125" style="54" customWidth="1"/>
    <col min="4611" max="4611" width="11.5703125" style="54" customWidth="1"/>
    <col min="4612" max="4613" width="8.85546875" style="54"/>
    <col min="4614" max="4614" width="11.5703125" style="54" customWidth="1"/>
    <col min="4615" max="4615" width="8.85546875" style="54"/>
    <col min="4616" max="4616" width="11.5703125" style="54" customWidth="1"/>
    <col min="4617" max="4862" width="8.85546875" style="54"/>
    <col min="4863" max="4863" width="27.42578125" style="54" customWidth="1"/>
    <col min="4864" max="4864" width="16" style="54" customWidth="1"/>
    <col min="4865" max="4865" width="12.42578125" style="54" customWidth="1"/>
    <col min="4866" max="4866" width="14.42578125" style="54" customWidth="1"/>
    <col min="4867" max="4867" width="11.5703125" style="54" customWidth="1"/>
    <col min="4868" max="4869" width="8.85546875" style="54"/>
    <col min="4870" max="4870" width="11.5703125" style="54" customWidth="1"/>
    <col min="4871" max="4871" width="8.85546875" style="54"/>
    <col min="4872" max="4872" width="11.5703125" style="54" customWidth="1"/>
    <col min="4873" max="5118" width="8.85546875" style="54"/>
    <col min="5119" max="5119" width="27.42578125" style="54" customWidth="1"/>
    <col min="5120" max="5120" width="16" style="54" customWidth="1"/>
    <col min="5121" max="5121" width="12.42578125" style="54" customWidth="1"/>
    <col min="5122" max="5122" width="14.42578125" style="54" customWidth="1"/>
    <col min="5123" max="5123" width="11.5703125" style="54" customWidth="1"/>
    <col min="5124" max="5125" width="8.85546875" style="54"/>
    <col min="5126" max="5126" width="11.5703125" style="54" customWidth="1"/>
    <col min="5127" max="5127" width="8.85546875" style="54"/>
    <col min="5128" max="5128" width="11.5703125" style="54" customWidth="1"/>
    <col min="5129" max="5374" width="8.85546875" style="54"/>
    <col min="5375" max="5375" width="27.42578125" style="54" customWidth="1"/>
    <col min="5376" max="5376" width="16" style="54" customWidth="1"/>
    <col min="5377" max="5377" width="12.42578125" style="54" customWidth="1"/>
    <col min="5378" max="5378" width="14.42578125" style="54" customWidth="1"/>
    <col min="5379" max="5379" width="11.5703125" style="54" customWidth="1"/>
    <col min="5380" max="5381" width="8.85546875" style="54"/>
    <col min="5382" max="5382" width="11.5703125" style="54" customWidth="1"/>
    <col min="5383" max="5383" width="8.85546875" style="54"/>
    <col min="5384" max="5384" width="11.5703125" style="54" customWidth="1"/>
    <col min="5385" max="5630" width="8.85546875" style="54"/>
    <col min="5631" max="5631" width="27.42578125" style="54" customWidth="1"/>
    <col min="5632" max="5632" width="16" style="54" customWidth="1"/>
    <col min="5633" max="5633" width="12.42578125" style="54" customWidth="1"/>
    <col min="5634" max="5634" width="14.42578125" style="54" customWidth="1"/>
    <col min="5635" max="5635" width="11.5703125" style="54" customWidth="1"/>
    <col min="5636" max="5637" width="8.85546875" style="54"/>
    <col min="5638" max="5638" width="11.5703125" style="54" customWidth="1"/>
    <col min="5639" max="5639" width="8.85546875" style="54"/>
    <col min="5640" max="5640" width="11.5703125" style="54" customWidth="1"/>
    <col min="5641" max="5886" width="8.85546875" style="54"/>
    <col min="5887" max="5887" width="27.42578125" style="54" customWidth="1"/>
    <col min="5888" max="5888" width="16" style="54" customWidth="1"/>
    <col min="5889" max="5889" width="12.42578125" style="54" customWidth="1"/>
    <col min="5890" max="5890" width="14.42578125" style="54" customWidth="1"/>
    <col min="5891" max="5891" width="11.5703125" style="54" customWidth="1"/>
    <col min="5892" max="5893" width="8.85546875" style="54"/>
    <col min="5894" max="5894" width="11.5703125" style="54" customWidth="1"/>
    <col min="5895" max="5895" width="8.85546875" style="54"/>
    <col min="5896" max="5896" width="11.5703125" style="54" customWidth="1"/>
    <col min="5897" max="6142" width="8.85546875" style="54"/>
    <col min="6143" max="6143" width="27.42578125" style="54" customWidth="1"/>
    <col min="6144" max="6144" width="16" style="54" customWidth="1"/>
    <col min="6145" max="6145" width="12.42578125" style="54" customWidth="1"/>
    <col min="6146" max="6146" width="14.42578125" style="54" customWidth="1"/>
    <col min="6147" max="6147" width="11.5703125" style="54" customWidth="1"/>
    <col min="6148" max="6149" width="8.85546875" style="54"/>
    <col min="6150" max="6150" width="11.5703125" style="54" customWidth="1"/>
    <col min="6151" max="6151" width="8.85546875" style="54"/>
    <col min="6152" max="6152" width="11.5703125" style="54" customWidth="1"/>
    <col min="6153" max="6398" width="8.85546875" style="54"/>
    <col min="6399" max="6399" width="27.42578125" style="54" customWidth="1"/>
    <col min="6400" max="6400" width="16" style="54" customWidth="1"/>
    <col min="6401" max="6401" width="12.42578125" style="54" customWidth="1"/>
    <col min="6402" max="6402" width="14.42578125" style="54" customWidth="1"/>
    <col min="6403" max="6403" width="11.5703125" style="54" customWidth="1"/>
    <col min="6404" max="6405" width="8.85546875" style="54"/>
    <col min="6406" max="6406" width="11.5703125" style="54" customWidth="1"/>
    <col min="6407" max="6407" width="8.85546875" style="54"/>
    <col min="6408" max="6408" width="11.5703125" style="54" customWidth="1"/>
    <col min="6409" max="6654" width="8.85546875" style="54"/>
    <col min="6655" max="6655" width="27.42578125" style="54" customWidth="1"/>
    <col min="6656" max="6656" width="16" style="54" customWidth="1"/>
    <col min="6657" max="6657" width="12.42578125" style="54" customWidth="1"/>
    <col min="6658" max="6658" width="14.42578125" style="54" customWidth="1"/>
    <col min="6659" max="6659" width="11.5703125" style="54" customWidth="1"/>
    <col min="6660" max="6661" width="8.85546875" style="54"/>
    <col min="6662" max="6662" width="11.5703125" style="54" customWidth="1"/>
    <col min="6663" max="6663" width="8.85546875" style="54"/>
    <col min="6664" max="6664" width="11.5703125" style="54" customWidth="1"/>
    <col min="6665" max="6910" width="8.85546875" style="54"/>
    <col min="6911" max="6911" width="27.42578125" style="54" customWidth="1"/>
    <col min="6912" max="6912" width="16" style="54" customWidth="1"/>
    <col min="6913" max="6913" width="12.42578125" style="54" customWidth="1"/>
    <col min="6914" max="6914" width="14.42578125" style="54" customWidth="1"/>
    <col min="6915" max="6915" width="11.5703125" style="54" customWidth="1"/>
    <col min="6916" max="6917" width="8.85546875" style="54"/>
    <col min="6918" max="6918" width="11.5703125" style="54" customWidth="1"/>
    <col min="6919" max="6919" width="8.85546875" style="54"/>
    <col min="6920" max="6920" width="11.5703125" style="54" customWidth="1"/>
    <col min="6921" max="7166" width="8.85546875" style="54"/>
    <col min="7167" max="7167" width="27.42578125" style="54" customWidth="1"/>
    <col min="7168" max="7168" width="16" style="54" customWidth="1"/>
    <col min="7169" max="7169" width="12.42578125" style="54" customWidth="1"/>
    <col min="7170" max="7170" width="14.42578125" style="54" customWidth="1"/>
    <col min="7171" max="7171" width="11.5703125" style="54" customWidth="1"/>
    <col min="7172" max="7173" width="8.85546875" style="54"/>
    <col min="7174" max="7174" width="11.5703125" style="54" customWidth="1"/>
    <col min="7175" max="7175" width="8.85546875" style="54"/>
    <col min="7176" max="7176" width="11.5703125" style="54" customWidth="1"/>
    <col min="7177" max="7422" width="8.85546875" style="54"/>
    <col min="7423" max="7423" width="27.42578125" style="54" customWidth="1"/>
    <col min="7424" max="7424" width="16" style="54" customWidth="1"/>
    <col min="7425" max="7425" width="12.42578125" style="54" customWidth="1"/>
    <col min="7426" max="7426" width="14.42578125" style="54" customWidth="1"/>
    <col min="7427" max="7427" width="11.5703125" style="54" customWidth="1"/>
    <col min="7428" max="7429" width="8.85546875" style="54"/>
    <col min="7430" max="7430" width="11.5703125" style="54" customWidth="1"/>
    <col min="7431" max="7431" width="8.85546875" style="54"/>
    <col min="7432" max="7432" width="11.5703125" style="54" customWidth="1"/>
    <col min="7433" max="7678" width="8.85546875" style="54"/>
    <col min="7679" max="7679" width="27.42578125" style="54" customWidth="1"/>
    <col min="7680" max="7680" width="16" style="54" customWidth="1"/>
    <col min="7681" max="7681" width="12.42578125" style="54" customWidth="1"/>
    <col min="7682" max="7682" width="14.42578125" style="54" customWidth="1"/>
    <col min="7683" max="7683" width="11.5703125" style="54" customWidth="1"/>
    <col min="7684" max="7685" width="8.85546875" style="54"/>
    <col min="7686" max="7686" width="11.5703125" style="54" customWidth="1"/>
    <col min="7687" max="7687" width="8.85546875" style="54"/>
    <col min="7688" max="7688" width="11.5703125" style="54" customWidth="1"/>
    <col min="7689" max="7934" width="8.85546875" style="54"/>
    <col min="7935" max="7935" width="27.42578125" style="54" customWidth="1"/>
    <col min="7936" max="7936" width="16" style="54" customWidth="1"/>
    <col min="7937" max="7937" width="12.42578125" style="54" customWidth="1"/>
    <col min="7938" max="7938" width="14.42578125" style="54" customWidth="1"/>
    <col min="7939" max="7939" width="11.5703125" style="54" customWidth="1"/>
    <col min="7940" max="7941" width="8.85546875" style="54"/>
    <col min="7942" max="7942" width="11.5703125" style="54" customWidth="1"/>
    <col min="7943" max="7943" width="8.85546875" style="54"/>
    <col min="7944" max="7944" width="11.5703125" style="54" customWidth="1"/>
    <col min="7945" max="8190" width="8.85546875" style="54"/>
    <col min="8191" max="8191" width="27.42578125" style="54" customWidth="1"/>
    <col min="8192" max="8192" width="16" style="54" customWidth="1"/>
    <col min="8193" max="8193" width="12.42578125" style="54" customWidth="1"/>
    <col min="8194" max="8194" width="14.42578125" style="54" customWidth="1"/>
    <col min="8195" max="8195" width="11.5703125" style="54" customWidth="1"/>
    <col min="8196" max="8197" width="8.85546875" style="54"/>
    <col min="8198" max="8198" width="11.5703125" style="54" customWidth="1"/>
    <col min="8199" max="8199" width="8.85546875" style="54"/>
    <col min="8200" max="8200" width="11.5703125" style="54" customWidth="1"/>
    <col min="8201" max="8446" width="8.85546875" style="54"/>
    <col min="8447" max="8447" width="27.42578125" style="54" customWidth="1"/>
    <col min="8448" max="8448" width="16" style="54" customWidth="1"/>
    <col min="8449" max="8449" width="12.42578125" style="54" customWidth="1"/>
    <col min="8450" max="8450" width="14.42578125" style="54" customWidth="1"/>
    <col min="8451" max="8451" width="11.5703125" style="54" customWidth="1"/>
    <col min="8452" max="8453" width="8.85546875" style="54"/>
    <col min="8454" max="8454" width="11.5703125" style="54" customWidth="1"/>
    <col min="8455" max="8455" width="8.85546875" style="54"/>
    <col min="8456" max="8456" width="11.5703125" style="54" customWidth="1"/>
    <col min="8457" max="8702" width="8.85546875" style="54"/>
    <col min="8703" max="8703" width="27.42578125" style="54" customWidth="1"/>
    <col min="8704" max="8704" width="16" style="54" customWidth="1"/>
    <col min="8705" max="8705" width="12.42578125" style="54" customWidth="1"/>
    <col min="8706" max="8706" width="14.42578125" style="54" customWidth="1"/>
    <col min="8707" max="8707" width="11.5703125" style="54" customWidth="1"/>
    <col min="8708" max="8709" width="8.85546875" style="54"/>
    <col min="8710" max="8710" width="11.5703125" style="54" customWidth="1"/>
    <col min="8711" max="8711" width="8.85546875" style="54"/>
    <col min="8712" max="8712" width="11.5703125" style="54" customWidth="1"/>
    <col min="8713" max="8958" width="8.85546875" style="54"/>
    <col min="8959" max="8959" width="27.42578125" style="54" customWidth="1"/>
    <col min="8960" max="8960" width="16" style="54" customWidth="1"/>
    <col min="8961" max="8961" width="12.42578125" style="54" customWidth="1"/>
    <col min="8962" max="8962" width="14.42578125" style="54" customWidth="1"/>
    <col min="8963" max="8963" width="11.5703125" style="54" customWidth="1"/>
    <col min="8964" max="8965" width="8.85546875" style="54"/>
    <col min="8966" max="8966" width="11.5703125" style="54" customWidth="1"/>
    <col min="8967" max="8967" width="8.85546875" style="54"/>
    <col min="8968" max="8968" width="11.5703125" style="54" customWidth="1"/>
    <col min="8969" max="9214" width="8.85546875" style="54"/>
    <col min="9215" max="9215" width="27.42578125" style="54" customWidth="1"/>
    <col min="9216" max="9216" width="16" style="54" customWidth="1"/>
    <col min="9217" max="9217" width="12.42578125" style="54" customWidth="1"/>
    <col min="9218" max="9218" width="14.42578125" style="54" customWidth="1"/>
    <col min="9219" max="9219" width="11.5703125" style="54" customWidth="1"/>
    <col min="9220" max="9221" width="8.85546875" style="54"/>
    <col min="9222" max="9222" width="11.5703125" style="54" customWidth="1"/>
    <col min="9223" max="9223" width="8.85546875" style="54"/>
    <col min="9224" max="9224" width="11.5703125" style="54" customWidth="1"/>
    <col min="9225" max="9470" width="8.85546875" style="54"/>
    <col min="9471" max="9471" width="27.42578125" style="54" customWidth="1"/>
    <col min="9472" max="9472" width="16" style="54" customWidth="1"/>
    <col min="9473" max="9473" width="12.42578125" style="54" customWidth="1"/>
    <col min="9474" max="9474" width="14.42578125" style="54" customWidth="1"/>
    <col min="9475" max="9475" width="11.5703125" style="54" customWidth="1"/>
    <col min="9476" max="9477" width="8.85546875" style="54"/>
    <col min="9478" max="9478" width="11.5703125" style="54" customWidth="1"/>
    <col min="9479" max="9479" width="8.85546875" style="54"/>
    <col min="9480" max="9480" width="11.5703125" style="54" customWidth="1"/>
    <col min="9481" max="9726" width="8.85546875" style="54"/>
    <col min="9727" max="9727" width="27.42578125" style="54" customWidth="1"/>
    <col min="9728" max="9728" width="16" style="54" customWidth="1"/>
    <col min="9729" max="9729" width="12.42578125" style="54" customWidth="1"/>
    <col min="9730" max="9730" width="14.42578125" style="54" customWidth="1"/>
    <col min="9731" max="9731" width="11.5703125" style="54" customWidth="1"/>
    <col min="9732" max="9733" width="8.85546875" style="54"/>
    <col min="9734" max="9734" width="11.5703125" style="54" customWidth="1"/>
    <col min="9735" max="9735" width="8.85546875" style="54"/>
    <col min="9736" max="9736" width="11.5703125" style="54" customWidth="1"/>
    <col min="9737" max="9982" width="8.85546875" style="54"/>
    <col min="9983" max="9983" width="27.42578125" style="54" customWidth="1"/>
    <col min="9984" max="9984" width="16" style="54" customWidth="1"/>
    <col min="9985" max="9985" width="12.42578125" style="54" customWidth="1"/>
    <col min="9986" max="9986" width="14.42578125" style="54" customWidth="1"/>
    <col min="9987" max="9987" width="11.5703125" style="54" customWidth="1"/>
    <col min="9988" max="9989" width="8.85546875" style="54"/>
    <col min="9990" max="9990" width="11.5703125" style="54" customWidth="1"/>
    <col min="9991" max="9991" width="8.85546875" style="54"/>
    <col min="9992" max="9992" width="11.5703125" style="54" customWidth="1"/>
    <col min="9993" max="10238" width="8.85546875" style="54"/>
    <col min="10239" max="10239" width="27.42578125" style="54" customWidth="1"/>
    <col min="10240" max="10240" width="16" style="54" customWidth="1"/>
    <col min="10241" max="10241" width="12.42578125" style="54" customWidth="1"/>
    <col min="10242" max="10242" width="14.42578125" style="54" customWidth="1"/>
    <col min="10243" max="10243" width="11.5703125" style="54" customWidth="1"/>
    <col min="10244" max="10245" width="8.85546875" style="54"/>
    <col min="10246" max="10246" width="11.5703125" style="54" customWidth="1"/>
    <col min="10247" max="10247" width="8.85546875" style="54"/>
    <col min="10248" max="10248" width="11.5703125" style="54" customWidth="1"/>
    <col min="10249" max="10494" width="8.85546875" style="54"/>
    <col min="10495" max="10495" width="27.42578125" style="54" customWidth="1"/>
    <col min="10496" max="10496" width="16" style="54" customWidth="1"/>
    <col min="10497" max="10497" width="12.42578125" style="54" customWidth="1"/>
    <col min="10498" max="10498" width="14.42578125" style="54" customWidth="1"/>
    <col min="10499" max="10499" width="11.5703125" style="54" customWidth="1"/>
    <col min="10500" max="10501" width="8.85546875" style="54"/>
    <col min="10502" max="10502" width="11.5703125" style="54" customWidth="1"/>
    <col min="10503" max="10503" width="8.85546875" style="54"/>
    <col min="10504" max="10504" width="11.5703125" style="54" customWidth="1"/>
    <col min="10505" max="10750" width="8.85546875" style="54"/>
    <col min="10751" max="10751" width="27.42578125" style="54" customWidth="1"/>
    <col min="10752" max="10752" width="16" style="54" customWidth="1"/>
    <col min="10753" max="10753" width="12.42578125" style="54" customWidth="1"/>
    <col min="10754" max="10754" width="14.42578125" style="54" customWidth="1"/>
    <col min="10755" max="10755" width="11.5703125" style="54" customWidth="1"/>
    <col min="10756" max="10757" width="8.85546875" style="54"/>
    <col min="10758" max="10758" width="11.5703125" style="54" customWidth="1"/>
    <col min="10759" max="10759" width="8.85546875" style="54"/>
    <col min="10760" max="10760" width="11.5703125" style="54" customWidth="1"/>
    <col min="10761" max="11006" width="8.85546875" style="54"/>
    <col min="11007" max="11007" width="27.42578125" style="54" customWidth="1"/>
    <col min="11008" max="11008" width="16" style="54" customWidth="1"/>
    <col min="11009" max="11009" width="12.42578125" style="54" customWidth="1"/>
    <col min="11010" max="11010" width="14.42578125" style="54" customWidth="1"/>
    <col min="11011" max="11011" width="11.5703125" style="54" customWidth="1"/>
    <col min="11012" max="11013" width="8.85546875" style="54"/>
    <col min="11014" max="11014" width="11.5703125" style="54" customWidth="1"/>
    <col min="11015" max="11015" width="8.85546875" style="54"/>
    <col min="11016" max="11016" width="11.5703125" style="54" customWidth="1"/>
    <col min="11017" max="11262" width="8.85546875" style="54"/>
    <col min="11263" max="11263" width="27.42578125" style="54" customWidth="1"/>
    <col min="11264" max="11264" width="16" style="54" customWidth="1"/>
    <col min="11265" max="11265" width="12.42578125" style="54" customWidth="1"/>
    <col min="11266" max="11266" width="14.42578125" style="54" customWidth="1"/>
    <col min="11267" max="11267" width="11.5703125" style="54" customWidth="1"/>
    <col min="11268" max="11269" width="8.85546875" style="54"/>
    <col min="11270" max="11270" width="11.5703125" style="54" customWidth="1"/>
    <col min="11271" max="11271" width="8.85546875" style="54"/>
    <col min="11272" max="11272" width="11.5703125" style="54" customWidth="1"/>
    <col min="11273" max="11518" width="8.85546875" style="54"/>
    <col min="11519" max="11519" width="27.42578125" style="54" customWidth="1"/>
    <col min="11520" max="11520" width="16" style="54" customWidth="1"/>
    <col min="11521" max="11521" width="12.42578125" style="54" customWidth="1"/>
    <col min="11522" max="11522" width="14.42578125" style="54" customWidth="1"/>
    <col min="11523" max="11523" width="11.5703125" style="54" customWidth="1"/>
    <col min="11524" max="11525" width="8.85546875" style="54"/>
    <col min="11526" max="11526" width="11.5703125" style="54" customWidth="1"/>
    <col min="11527" max="11527" width="8.85546875" style="54"/>
    <col min="11528" max="11528" width="11.5703125" style="54" customWidth="1"/>
    <col min="11529" max="11774" width="8.85546875" style="54"/>
    <col min="11775" max="11775" width="27.42578125" style="54" customWidth="1"/>
    <col min="11776" max="11776" width="16" style="54" customWidth="1"/>
    <col min="11777" max="11777" width="12.42578125" style="54" customWidth="1"/>
    <col min="11778" max="11778" width="14.42578125" style="54" customWidth="1"/>
    <col min="11779" max="11779" width="11.5703125" style="54" customWidth="1"/>
    <col min="11780" max="11781" width="8.85546875" style="54"/>
    <col min="11782" max="11782" width="11.5703125" style="54" customWidth="1"/>
    <col min="11783" max="11783" width="8.85546875" style="54"/>
    <col min="11784" max="11784" width="11.5703125" style="54" customWidth="1"/>
    <col min="11785" max="12030" width="8.85546875" style="54"/>
    <col min="12031" max="12031" width="27.42578125" style="54" customWidth="1"/>
    <col min="12032" max="12032" width="16" style="54" customWidth="1"/>
    <col min="12033" max="12033" width="12.42578125" style="54" customWidth="1"/>
    <col min="12034" max="12034" width="14.42578125" style="54" customWidth="1"/>
    <col min="12035" max="12035" width="11.5703125" style="54" customWidth="1"/>
    <col min="12036" max="12037" width="8.85546875" style="54"/>
    <col min="12038" max="12038" width="11.5703125" style="54" customWidth="1"/>
    <col min="12039" max="12039" width="8.85546875" style="54"/>
    <col min="12040" max="12040" width="11.5703125" style="54" customWidth="1"/>
    <col min="12041" max="12286" width="8.85546875" style="54"/>
    <col min="12287" max="12287" width="27.42578125" style="54" customWidth="1"/>
    <col min="12288" max="12288" width="16" style="54" customWidth="1"/>
    <col min="12289" max="12289" width="12.42578125" style="54" customWidth="1"/>
    <col min="12290" max="12290" width="14.42578125" style="54" customWidth="1"/>
    <col min="12291" max="12291" width="11.5703125" style="54" customWidth="1"/>
    <col min="12292" max="12293" width="8.85546875" style="54"/>
    <col min="12294" max="12294" width="11.5703125" style="54" customWidth="1"/>
    <col min="12295" max="12295" width="8.85546875" style="54"/>
    <col min="12296" max="12296" width="11.5703125" style="54" customWidth="1"/>
    <col min="12297" max="12542" width="8.85546875" style="54"/>
    <col min="12543" max="12543" width="27.42578125" style="54" customWidth="1"/>
    <col min="12544" max="12544" width="16" style="54" customWidth="1"/>
    <col min="12545" max="12545" width="12.42578125" style="54" customWidth="1"/>
    <col min="12546" max="12546" width="14.42578125" style="54" customWidth="1"/>
    <col min="12547" max="12547" width="11.5703125" style="54" customWidth="1"/>
    <col min="12548" max="12549" width="8.85546875" style="54"/>
    <col min="12550" max="12550" width="11.5703125" style="54" customWidth="1"/>
    <col min="12551" max="12551" width="8.85546875" style="54"/>
    <col min="12552" max="12552" width="11.5703125" style="54" customWidth="1"/>
    <col min="12553" max="12798" width="8.85546875" style="54"/>
    <col min="12799" max="12799" width="27.42578125" style="54" customWidth="1"/>
    <col min="12800" max="12800" width="16" style="54" customWidth="1"/>
    <col min="12801" max="12801" width="12.42578125" style="54" customWidth="1"/>
    <col min="12802" max="12802" width="14.42578125" style="54" customWidth="1"/>
    <col min="12803" max="12803" width="11.5703125" style="54" customWidth="1"/>
    <col min="12804" max="12805" width="8.85546875" style="54"/>
    <col min="12806" max="12806" width="11.5703125" style="54" customWidth="1"/>
    <col min="12807" max="12807" width="8.85546875" style="54"/>
    <col min="12808" max="12808" width="11.5703125" style="54" customWidth="1"/>
    <col min="12809" max="13054" width="8.85546875" style="54"/>
    <col min="13055" max="13055" width="27.42578125" style="54" customWidth="1"/>
    <col min="13056" max="13056" width="16" style="54" customWidth="1"/>
    <col min="13057" max="13057" width="12.42578125" style="54" customWidth="1"/>
    <col min="13058" max="13058" width="14.42578125" style="54" customWidth="1"/>
    <col min="13059" max="13059" width="11.5703125" style="54" customWidth="1"/>
    <col min="13060" max="13061" width="8.85546875" style="54"/>
    <col min="13062" max="13062" width="11.5703125" style="54" customWidth="1"/>
    <col min="13063" max="13063" width="8.85546875" style="54"/>
    <col min="13064" max="13064" width="11.5703125" style="54" customWidth="1"/>
    <col min="13065" max="13310" width="8.85546875" style="54"/>
    <col min="13311" max="13311" width="27.42578125" style="54" customWidth="1"/>
    <col min="13312" max="13312" width="16" style="54" customWidth="1"/>
    <col min="13313" max="13313" width="12.42578125" style="54" customWidth="1"/>
    <col min="13314" max="13314" width="14.42578125" style="54" customWidth="1"/>
    <col min="13315" max="13315" width="11.5703125" style="54" customWidth="1"/>
    <col min="13316" max="13317" width="8.85546875" style="54"/>
    <col min="13318" max="13318" width="11.5703125" style="54" customWidth="1"/>
    <col min="13319" max="13319" width="8.85546875" style="54"/>
    <col min="13320" max="13320" width="11.5703125" style="54" customWidth="1"/>
    <col min="13321" max="13566" width="8.85546875" style="54"/>
    <col min="13567" max="13567" width="27.42578125" style="54" customWidth="1"/>
    <col min="13568" max="13568" width="16" style="54" customWidth="1"/>
    <col min="13569" max="13569" width="12.42578125" style="54" customWidth="1"/>
    <col min="13570" max="13570" width="14.42578125" style="54" customWidth="1"/>
    <col min="13571" max="13571" width="11.5703125" style="54" customWidth="1"/>
    <col min="13572" max="13573" width="8.85546875" style="54"/>
    <col min="13574" max="13574" width="11.5703125" style="54" customWidth="1"/>
    <col min="13575" max="13575" width="8.85546875" style="54"/>
    <col min="13576" max="13576" width="11.5703125" style="54" customWidth="1"/>
    <col min="13577" max="13822" width="8.85546875" style="54"/>
    <col min="13823" max="13823" width="27.42578125" style="54" customWidth="1"/>
    <col min="13824" max="13824" width="16" style="54" customWidth="1"/>
    <col min="13825" max="13825" width="12.42578125" style="54" customWidth="1"/>
    <col min="13826" max="13826" width="14.42578125" style="54" customWidth="1"/>
    <col min="13827" max="13827" width="11.5703125" style="54" customWidth="1"/>
    <col min="13828" max="13829" width="8.85546875" style="54"/>
    <col min="13830" max="13830" width="11.5703125" style="54" customWidth="1"/>
    <col min="13831" max="13831" width="8.85546875" style="54"/>
    <col min="13832" max="13832" width="11.5703125" style="54" customWidth="1"/>
    <col min="13833" max="14078" width="8.85546875" style="54"/>
    <col min="14079" max="14079" width="27.42578125" style="54" customWidth="1"/>
    <col min="14080" max="14080" width="16" style="54" customWidth="1"/>
    <col min="14081" max="14081" width="12.42578125" style="54" customWidth="1"/>
    <col min="14082" max="14082" width="14.42578125" style="54" customWidth="1"/>
    <col min="14083" max="14083" width="11.5703125" style="54" customWidth="1"/>
    <col min="14084" max="14085" width="8.85546875" style="54"/>
    <col min="14086" max="14086" width="11.5703125" style="54" customWidth="1"/>
    <col min="14087" max="14087" width="8.85546875" style="54"/>
    <col min="14088" max="14088" width="11.5703125" style="54" customWidth="1"/>
    <col min="14089" max="14334" width="8.85546875" style="54"/>
    <col min="14335" max="14335" width="27.42578125" style="54" customWidth="1"/>
    <col min="14336" max="14336" width="16" style="54" customWidth="1"/>
    <col min="14337" max="14337" width="12.42578125" style="54" customWidth="1"/>
    <col min="14338" max="14338" width="14.42578125" style="54" customWidth="1"/>
    <col min="14339" max="14339" width="11.5703125" style="54" customWidth="1"/>
    <col min="14340" max="14341" width="8.85546875" style="54"/>
    <col min="14342" max="14342" width="11.5703125" style="54" customWidth="1"/>
    <col min="14343" max="14343" width="8.85546875" style="54"/>
    <col min="14344" max="14344" width="11.5703125" style="54" customWidth="1"/>
    <col min="14345" max="14590" width="8.85546875" style="54"/>
    <col min="14591" max="14591" width="27.42578125" style="54" customWidth="1"/>
    <col min="14592" max="14592" width="16" style="54" customWidth="1"/>
    <col min="14593" max="14593" width="12.42578125" style="54" customWidth="1"/>
    <col min="14594" max="14594" width="14.42578125" style="54" customWidth="1"/>
    <col min="14595" max="14595" width="11.5703125" style="54" customWidth="1"/>
    <col min="14596" max="14597" width="8.85546875" style="54"/>
    <col min="14598" max="14598" width="11.5703125" style="54" customWidth="1"/>
    <col min="14599" max="14599" width="8.85546875" style="54"/>
    <col min="14600" max="14600" width="11.5703125" style="54" customWidth="1"/>
    <col min="14601" max="14846" width="8.85546875" style="54"/>
    <col min="14847" max="14847" width="27.42578125" style="54" customWidth="1"/>
    <col min="14848" max="14848" width="16" style="54" customWidth="1"/>
    <col min="14849" max="14849" width="12.42578125" style="54" customWidth="1"/>
    <col min="14850" max="14850" width="14.42578125" style="54" customWidth="1"/>
    <col min="14851" max="14851" width="11.5703125" style="54" customWidth="1"/>
    <col min="14852" max="14853" width="8.85546875" style="54"/>
    <col min="14854" max="14854" width="11.5703125" style="54" customWidth="1"/>
    <col min="14855" max="14855" width="8.85546875" style="54"/>
    <col min="14856" max="14856" width="11.5703125" style="54" customWidth="1"/>
    <col min="14857" max="15102" width="8.85546875" style="54"/>
    <col min="15103" max="15103" width="27.42578125" style="54" customWidth="1"/>
    <col min="15104" max="15104" width="16" style="54" customWidth="1"/>
    <col min="15105" max="15105" width="12.42578125" style="54" customWidth="1"/>
    <col min="15106" max="15106" width="14.42578125" style="54" customWidth="1"/>
    <col min="15107" max="15107" width="11.5703125" style="54" customWidth="1"/>
    <col min="15108" max="15109" width="8.85546875" style="54"/>
    <col min="15110" max="15110" width="11.5703125" style="54" customWidth="1"/>
    <col min="15111" max="15111" width="8.85546875" style="54"/>
    <col min="15112" max="15112" width="11.5703125" style="54" customWidth="1"/>
    <col min="15113" max="15358" width="8.85546875" style="54"/>
    <col min="15359" max="15359" width="27.42578125" style="54" customWidth="1"/>
    <col min="15360" max="15360" width="16" style="54" customWidth="1"/>
    <col min="15361" max="15361" width="12.42578125" style="54" customWidth="1"/>
    <col min="15362" max="15362" width="14.42578125" style="54" customWidth="1"/>
    <col min="15363" max="15363" width="11.5703125" style="54" customWidth="1"/>
    <col min="15364" max="15365" width="8.85546875" style="54"/>
    <col min="15366" max="15366" width="11.5703125" style="54" customWidth="1"/>
    <col min="15367" max="15367" width="8.85546875" style="54"/>
    <col min="15368" max="15368" width="11.5703125" style="54" customWidth="1"/>
    <col min="15369" max="15614" width="8.85546875" style="54"/>
    <col min="15615" max="15615" width="27.42578125" style="54" customWidth="1"/>
    <col min="15616" max="15616" width="16" style="54" customWidth="1"/>
    <col min="15617" max="15617" width="12.42578125" style="54" customWidth="1"/>
    <col min="15618" max="15618" width="14.42578125" style="54" customWidth="1"/>
    <col min="15619" max="15619" width="11.5703125" style="54" customWidth="1"/>
    <col min="15620" max="15621" width="8.85546875" style="54"/>
    <col min="15622" max="15622" width="11.5703125" style="54" customWidth="1"/>
    <col min="15623" max="15623" width="8.85546875" style="54"/>
    <col min="15624" max="15624" width="11.5703125" style="54" customWidth="1"/>
    <col min="15625" max="15870" width="8.85546875" style="54"/>
    <col min="15871" max="15871" width="27.42578125" style="54" customWidth="1"/>
    <col min="15872" max="15872" width="16" style="54" customWidth="1"/>
    <col min="15873" max="15873" width="12.42578125" style="54" customWidth="1"/>
    <col min="15874" max="15874" width="14.42578125" style="54" customWidth="1"/>
    <col min="15875" max="15875" width="11.5703125" style="54" customWidth="1"/>
    <col min="15876" max="15877" width="8.85546875" style="54"/>
    <col min="15878" max="15878" width="11.5703125" style="54" customWidth="1"/>
    <col min="15879" max="15879" width="8.85546875" style="54"/>
    <col min="15880" max="15880" width="11.5703125" style="54" customWidth="1"/>
    <col min="15881" max="16126" width="8.85546875" style="54"/>
    <col min="16127" max="16127" width="27.42578125" style="54" customWidth="1"/>
    <col min="16128" max="16128" width="16" style="54" customWidth="1"/>
    <col min="16129" max="16129" width="12.42578125" style="54" customWidth="1"/>
    <col min="16130" max="16130" width="14.42578125" style="54" customWidth="1"/>
    <col min="16131" max="16131" width="11.5703125" style="54" customWidth="1"/>
    <col min="16132" max="16133" width="8.85546875" style="54"/>
    <col min="16134" max="16134" width="11.5703125" style="54" customWidth="1"/>
    <col min="16135" max="16135" width="8.85546875" style="54"/>
    <col min="16136" max="16136" width="11.5703125" style="54" customWidth="1"/>
    <col min="16137" max="16382" width="8.85546875" style="54"/>
    <col min="16383" max="16384" width="8.85546875" style="54" customWidth="1"/>
  </cols>
  <sheetData>
    <row r="1" spans="1:11" ht="24" x14ac:dyDescent="0.4">
      <c r="A1" s="53" t="s">
        <v>59</v>
      </c>
      <c r="H1" s="179"/>
      <c r="I1" s="179"/>
      <c r="J1" s="179"/>
      <c r="K1" s="179"/>
    </row>
    <row r="2" spans="1:11" ht="16.5" x14ac:dyDescent="0.3">
      <c r="A2" s="56"/>
      <c r="B2" s="56"/>
      <c r="C2" s="56"/>
      <c r="D2" s="142">
        <v>45019</v>
      </c>
      <c r="E2" s="56"/>
      <c r="F2" s="56"/>
      <c r="G2" s="56"/>
      <c r="H2" s="179"/>
      <c r="I2" s="179"/>
      <c r="J2" s="179"/>
      <c r="K2" s="179"/>
    </row>
    <row r="3" spans="1:11" ht="16.5" x14ac:dyDescent="0.3">
      <c r="A3" s="57" t="s">
        <v>60</v>
      </c>
      <c r="B3" s="56"/>
      <c r="C3" s="56"/>
      <c r="D3" s="56"/>
      <c r="E3" s="56"/>
      <c r="F3" s="56"/>
      <c r="G3" s="56"/>
      <c r="H3" s="179"/>
      <c r="I3" s="179"/>
      <c r="J3" s="179"/>
      <c r="K3" s="179"/>
    </row>
    <row r="4" spans="1:11" ht="16.5" x14ac:dyDescent="0.3">
      <c r="A4" s="57"/>
      <c r="B4" s="56"/>
      <c r="C4" s="56"/>
      <c r="D4" s="56"/>
      <c r="E4" s="56"/>
      <c r="F4" s="56"/>
      <c r="G4" s="56"/>
      <c r="H4" s="56"/>
      <c r="I4" s="56"/>
      <c r="J4" s="56"/>
    </row>
    <row r="5" spans="1:11" ht="16.5" x14ac:dyDescent="0.3">
      <c r="A5" s="57" t="s">
        <v>61</v>
      </c>
      <c r="B5" s="56"/>
      <c r="C5" s="56"/>
      <c r="D5" s="56"/>
      <c r="E5" s="56"/>
      <c r="F5" s="56"/>
      <c r="G5" s="56"/>
      <c r="H5" s="56"/>
      <c r="I5" s="56"/>
      <c r="J5" s="56"/>
    </row>
    <row r="6" spans="1:11" ht="16.5" x14ac:dyDescent="0.3">
      <c r="A6" s="57"/>
      <c r="B6" s="56"/>
      <c r="C6" s="56"/>
      <c r="D6" s="56"/>
      <c r="E6" s="56"/>
      <c r="F6" s="56"/>
      <c r="G6" s="56"/>
      <c r="H6" s="56"/>
      <c r="I6" s="56"/>
      <c r="J6" s="56"/>
    </row>
    <row r="7" spans="1:11" ht="16.5" x14ac:dyDescent="0.3">
      <c r="A7" s="57" t="s">
        <v>62</v>
      </c>
      <c r="B7" s="56"/>
      <c r="C7" s="56"/>
      <c r="D7" s="56"/>
      <c r="E7" s="56"/>
      <c r="F7" s="56"/>
      <c r="G7" s="56"/>
      <c r="H7" s="56"/>
      <c r="I7" s="56"/>
      <c r="J7" s="56"/>
    </row>
    <row r="8" spans="1:11" ht="16.5" x14ac:dyDescent="0.3">
      <c r="A8" s="57"/>
      <c r="B8" s="56"/>
      <c r="C8" s="56"/>
      <c r="D8" s="56"/>
      <c r="E8" s="56"/>
      <c r="F8" s="56"/>
      <c r="G8" s="56"/>
      <c r="H8" s="56"/>
      <c r="I8" s="56"/>
      <c r="J8" s="56"/>
    </row>
    <row r="9" spans="1:11" ht="16.5" x14ac:dyDescent="0.3">
      <c r="A9" s="57" t="s">
        <v>63</v>
      </c>
      <c r="B9" s="58"/>
      <c r="C9" s="59"/>
      <c r="D9" s="56"/>
      <c r="E9" s="56"/>
      <c r="F9" s="56"/>
      <c r="G9" s="56"/>
      <c r="H9" s="56"/>
      <c r="I9" s="56"/>
      <c r="J9" s="56"/>
    </row>
    <row r="10" spans="1:11" ht="16.5" x14ac:dyDescent="0.3">
      <c r="A10" s="57"/>
      <c r="B10" s="56"/>
      <c r="C10" s="56"/>
      <c r="D10" s="56"/>
      <c r="E10" s="56"/>
      <c r="F10" s="56"/>
      <c r="G10" s="56"/>
      <c r="H10" s="56"/>
      <c r="I10" s="56"/>
      <c r="J10" s="56"/>
    </row>
    <row r="11" spans="1:11" ht="16.5" x14ac:dyDescent="0.3">
      <c r="A11" s="57" t="s">
        <v>64</v>
      </c>
      <c r="B11" s="60" t="s">
        <v>65</v>
      </c>
      <c r="C11" s="61" t="s">
        <v>66</v>
      </c>
      <c r="D11" s="56"/>
      <c r="E11" s="56"/>
      <c r="F11" s="56"/>
      <c r="G11" s="56"/>
      <c r="H11" s="56"/>
      <c r="I11" s="56"/>
      <c r="J11" s="56"/>
    </row>
    <row r="12" spans="1:11" ht="16.5" x14ac:dyDescent="0.3">
      <c r="B12" s="60" t="s">
        <v>67</v>
      </c>
      <c r="C12" s="61"/>
      <c r="D12" s="60" t="s">
        <v>68</v>
      </c>
      <c r="E12" s="61"/>
      <c r="F12" s="59"/>
      <c r="G12" s="60" t="s">
        <v>69</v>
      </c>
      <c r="H12" s="61"/>
      <c r="I12" s="56"/>
      <c r="J12" s="56"/>
    </row>
    <row r="13" spans="1:11" ht="16.5" x14ac:dyDescent="0.3">
      <c r="A13" s="57"/>
      <c r="B13" s="60" t="s">
        <v>70</v>
      </c>
      <c r="C13" s="61"/>
      <c r="D13" s="60" t="s">
        <v>71</v>
      </c>
      <c r="E13" s="62"/>
      <c r="F13" s="56"/>
      <c r="G13" s="60" t="s">
        <v>72</v>
      </c>
      <c r="H13" s="62"/>
      <c r="I13" s="56"/>
      <c r="J13" s="56"/>
    </row>
    <row r="14" spans="1:11" ht="16.5" x14ac:dyDescent="0.3">
      <c r="A14" s="57"/>
      <c r="B14" s="56"/>
      <c r="C14" s="56"/>
      <c r="D14" s="56"/>
      <c r="E14" s="56"/>
      <c r="F14" s="56"/>
      <c r="G14" s="56"/>
      <c r="I14" s="56"/>
      <c r="J14" s="56"/>
    </row>
    <row r="15" spans="1:11" ht="15" customHeight="1" x14ac:dyDescent="0.3">
      <c r="A15" s="57" t="s">
        <v>73</v>
      </c>
      <c r="B15" s="63"/>
      <c r="C15" s="64"/>
      <c r="D15" s="64"/>
      <c r="E15" s="64"/>
      <c r="F15" s="64"/>
      <c r="G15" s="64"/>
      <c r="H15" s="64"/>
      <c r="I15" s="65"/>
    </row>
    <row r="16" spans="1:11" ht="16.5" x14ac:dyDescent="0.3">
      <c r="A16" s="57"/>
      <c r="B16" s="66"/>
      <c r="C16" s="67"/>
      <c r="D16" s="67"/>
      <c r="E16" s="67"/>
      <c r="F16" s="67"/>
      <c r="G16" s="67"/>
      <c r="H16" s="67"/>
      <c r="I16" s="68"/>
    </row>
    <row r="17" spans="1:10" ht="16.5" x14ac:dyDescent="0.3">
      <c r="A17" s="69"/>
      <c r="C17" s="56"/>
      <c r="D17" s="56"/>
      <c r="E17" s="56"/>
      <c r="F17" s="56"/>
      <c r="G17" s="56"/>
      <c r="I17" s="56"/>
      <c r="J17" s="56"/>
    </row>
    <row r="18" spans="1:10" ht="16.5" x14ac:dyDescent="0.3">
      <c r="A18" s="57" t="s">
        <v>74</v>
      </c>
      <c r="B18" s="181"/>
      <c r="C18" s="182"/>
      <c r="D18" s="182"/>
      <c r="E18" s="182"/>
      <c r="F18" s="182"/>
      <c r="G18" s="182"/>
      <c r="H18" s="182"/>
      <c r="I18" s="183"/>
      <c r="J18" s="70"/>
    </row>
    <row r="19" spans="1:10" ht="16.5" x14ac:dyDescent="0.3">
      <c r="A19" s="57"/>
      <c r="B19" s="56"/>
      <c r="C19" s="56"/>
      <c r="D19" s="56"/>
      <c r="E19" s="56"/>
      <c r="F19" s="56"/>
      <c r="G19" s="56"/>
      <c r="I19" s="56"/>
      <c r="J19" s="56"/>
    </row>
    <row r="20" spans="1:10" ht="16.5" x14ac:dyDescent="0.3">
      <c r="A20" s="57" t="s">
        <v>75</v>
      </c>
      <c r="B20" s="71"/>
      <c r="C20" s="70"/>
      <c r="D20" s="70"/>
      <c r="E20" s="56"/>
      <c r="F20" s="56"/>
      <c r="G20" s="56"/>
      <c r="H20" s="56"/>
      <c r="I20" s="56"/>
      <c r="J20" s="56"/>
    </row>
    <row r="21" spans="1:10" ht="16.5" x14ac:dyDescent="0.3">
      <c r="A21" s="57"/>
      <c r="B21" s="56"/>
      <c r="C21" s="59"/>
      <c r="D21" s="56"/>
      <c r="E21" s="56"/>
      <c r="F21" s="56"/>
      <c r="G21" s="56"/>
      <c r="H21" s="56"/>
      <c r="I21" s="56"/>
      <c r="J21" s="56"/>
    </row>
    <row r="22" spans="1:10" ht="16.5" x14ac:dyDescent="0.3">
      <c r="A22" s="57" t="s">
        <v>76</v>
      </c>
      <c r="B22" s="70"/>
      <c r="C22" s="59"/>
      <c r="D22" s="60"/>
      <c r="E22" s="56"/>
      <c r="F22" s="56"/>
      <c r="G22" s="60"/>
      <c r="H22" s="56"/>
      <c r="I22" s="56"/>
      <c r="J22" s="56"/>
    </row>
    <row r="23" spans="1:10" ht="16.5" x14ac:dyDescent="0.3">
      <c r="A23" s="57"/>
      <c r="B23" s="56"/>
      <c r="C23" s="56"/>
    </row>
    <row r="24" spans="1:10" ht="15" customHeight="1" x14ac:dyDescent="0.3">
      <c r="A24" s="57" t="s">
        <v>77</v>
      </c>
      <c r="B24" s="184"/>
      <c r="C24" s="185"/>
      <c r="D24" s="185"/>
      <c r="E24" s="185"/>
      <c r="F24" s="185"/>
      <c r="G24" s="185"/>
      <c r="H24" s="185"/>
      <c r="I24" s="186"/>
      <c r="J24" s="72"/>
    </row>
    <row r="25" spans="1:10" ht="16.5" x14ac:dyDescent="0.25">
      <c r="B25" s="187"/>
      <c r="C25" s="188"/>
      <c r="D25" s="188"/>
      <c r="E25" s="188"/>
      <c r="F25" s="188"/>
      <c r="G25" s="188"/>
      <c r="H25" s="188"/>
      <c r="I25" s="189"/>
      <c r="J25" s="72"/>
    </row>
    <row r="26" spans="1:10" ht="16.5" x14ac:dyDescent="0.3">
      <c r="A26" s="57"/>
      <c r="B26" s="187"/>
      <c r="C26" s="188"/>
      <c r="D26" s="188"/>
      <c r="E26" s="188"/>
      <c r="F26" s="188"/>
      <c r="G26" s="188"/>
      <c r="H26" s="188"/>
      <c r="I26" s="189"/>
      <c r="J26" s="72"/>
    </row>
    <row r="27" spans="1:10" ht="16.5" x14ac:dyDescent="0.25">
      <c r="B27" s="187"/>
      <c r="C27" s="188"/>
      <c r="D27" s="188"/>
      <c r="E27" s="188"/>
      <c r="F27" s="188"/>
      <c r="G27" s="188"/>
      <c r="H27" s="188"/>
      <c r="I27" s="189"/>
      <c r="J27" s="72"/>
    </row>
    <row r="28" spans="1:10" ht="27.75" customHeight="1" x14ac:dyDescent="0.25">
      <c r="B28" s="190"/>
      <c r="C28" s="191"/>
      <c r="D28" s="191"/>
      <c r="E28" s="191"/>
      <c r="F28" s="191"/>
      <c r="G28" s="191"/>
      <c r="H28" s="191"/>
      <c r="I28" s="192"/>
      <c r="J28" s="72"/>
    </row>
    <row r="30" spans="1:10" ht="16.5" x14ac:dyDescent="0.3">
      <c r="A30" s="57" t="s">
        <v>78</v>
      </c>
      <c r="B30" s="193"/>
      <c r="C30" s="194"/>
      <c r="D30" s="195"/>
      <c r="E30" s="56"/>
      <c r="F30" s="56"/>
      <c r="G30" s="56"/>
      <c r="H30" s="56"/>
      <c r="I30" s="56"/>
      <c r="J30" s="56"/>
    </row>
    <row r="31" spans="1:10" ht="16.5" x14ac:dyDescent="0.3">
      <c r="A31" s="57" t="s">
        <v>79</v>
      </c>
      <c r="B31" s="181"/>
      <c r="C31" s="196"/>
      <c r="D31" s="197"/>
      <c r="E31" s="56"/>
      <c r="F31" s="56"/>
      <c r="G31" s="56"/>
      <c r="H31" s="56"/>
      <c r="I31" s="56"/>
      <c r="J31" s="56"/>
    </row>
    <row r="32" spans="1:10" ht="16.5" x14ac:dyDescent="0.3">
      <c r="A32" s="57" t="s">
        <v>80</v>
      </c>
      <c r="B32" s="73"/>
      <c r="C32" s="70"/>
      <c r="D32" s="70"/>
      <c r="E32" s="56"/>
      <c r="F32" s="56"/>
      <c r="G32" s="56"/>
      <c r="H32" s="56"/>
      <c r="I32" s="56"/>
      <c r="J32" s="56"/>
    </row>
    <row r="33" spans="1:12" ht="16.5" x14ac:dyDescent="0.3">
      <c r="A33" s="57" t="s">
        <v>81</v>
      </c>
      <c r="B33" s="74"/>
      <c r="C33" s="70"/>
      <c r="D33" s="70"/>
      <c r="E33" s="56"/>
      <c r="F33" s="56"/>
      <c r="G33" s="56"/>
      <c r="H33" s="56"/>
      <c r="I33" s="56"/>
      <c r="J33" s="56"/>
    </row>
    <row r="34" spans="1:12" ht="16.5" x14ac:dyDescent="0.3">
      <c r="A34" s="57" t="s">
        <v>82</v>
      </c>
      <c r="B34" s="71"/>
      <c r="C34" s="70"/>
      <c r="D34" s="70"/>
      <c r="E34" s="56"/>
      <c r="F34" s="56"/>
      <c r="G34" s="56"/>
      <c r="H34" s="56"/>
      <c r="I34" s="56"/>
      <c r="J34" s="56"/>
    </row>
    <row r="35" spans="1:12" ht="16.5" x14ac:dyDescent="0.3">
      <c r="A35" s="56"/>
      <c r="B35" s="56"/>
      <c r="C35" s="56"/>
      <c r="D35" s="56"/>
      <c r="E35" s="56"/>
      <c r="F35" s="56"/>
      <c r="G35" s="56"/>
      <c r="H35" s="56"/>
      <c r="I35" s="56"/>
      <c r="J35" s="56"/>
    </row>
    <row r="36" spans="1:12" ht="16.5" x14ac:dyDescent="0.3">
      <c r="A36" s="57" t="s">
        <v>83</v>
      </c>
      <c r="B36" s="75"/>
      <c r="C36" s="75"/>
      <c r="D36" s="75"/>
      <c r="E36" s="75"/>
      <c r="F36" s="75"/>
      <c r="G36" s="76"/>
      <c r="H36" s="76"/>
      <c r="I36" s="76"/>
      <c r="J36" s="76"/>
    </row>
    <row r="37" spans="1:12" x14ac:dyDescent="0.25">
      <c r="A37" s="77" t="s">
        <v>84</v>
      </c>
      <c r="B37" s="78" t="s">
        <v>85</v>
      </c>
      <c r="C37" s="79"/>
      <c r="D37" s="80"/>
      <c r="E37" s="80"/>
      <c r="F37" s="80"/>
      <c r="G37" s="78" t="s">
        <v>86</v>
      </c>
      <c r="H37" s="198" t="s">
        <v>86</v>
      </c>
      <c r="I37" s="199"/>
      <c r="J37" s="81" t="s">
        <v>87</v>
      </c>
    </row>
    <row r="38" spans="1:12" x14ac:dyDescent="0.25">
      <c r="A38" s="82"/>
      <c r="B38" s="83"/>
      <c r="C38" s="84"/>
      <c r="D38" s="84"/>
      <c r="E38" s="84"/>
      <c r="F38" s="84"/>
      <c r="G38" s="85" t="s">
        <v>88</v>
      </c>
      <c r="H38" s="200" t="s">
        <v>89</v>
      </c>
      <c r="I38" s="201"/>
      <c r="J38" s="86"/>
    </row>
    <row r="39" spans="1:12" x14ac:dyDescent="0.25">
      <c r="A39" s="87"/>
      <c r="B39" s="202"/>
      <c r="C39" s="202"/>
      <c r="D39" s="202"/>
      <c r="E39" s="202"/>
      <c r="F39" s="203"/>
      <c r="G39" s="88"/>
      <c r="H39" s="204"/>
      <c r="I39" s="205"/>
      <c r="J39" s="89"/>
    </row>
    <row r="40" spans="1:12" x14ac:dyDescent="0.25">
      <c r="A40" s="90"/>
      <c r="B40" s="91"/>
      <c r="C40" s="91"/>
      <c r="D40" s="91"/>
      <c r="E40" s="91"/>
      <c r="F40" s="92"/>
      <c r="G40" s="93"/>
      <c r="H40" s="179"/>
      <c r="I40" s="180"/>
      <c r="J40" s="94"/>
    </row>
    <row r="41" spans="1:12" x14ac:dyDescent="0.25">
      <c r="A41" s="90"/>
      <c r="B41" s="91"/>
      <c r="C41" s="91"/>
      <c r="D41" s="91"/>
      <c r="E41" s="91"/>
      <c r="F41" s="92"/>
      <c r="G41" s="93"/>
      <c r="H41" s="179"/>
      <c r="I41" s="180"/>
      <c r="J41" s="94"/>
    </row>
    <row r="42" spans="1:12" x14ac:dyDescent="0.25">
      <c r="A42" s="90"/>
      <c r="B42" s="91"/>
      <c r="C42" s="91"/>
      <c r="D42" s="91"/>
      <c r="E42" s="91"/>
      <c r="F42" s="92"/>
      <c r="G42" s="93"/>
      <c r="H42" s="179"/>
      <c r="I42" s="180"/>
      <c r="J42" s="94"/>
    </row>
    <row r="43" spans="1:12" x14ac:dyDescent="0.25">
      <c r="A43" s="90"/>
      <c r="B43" s="95"/>
      <c r="C43" s="95"/>
      <c r="D43" s="95"/>
      <c r="E43" s="95"/>
      <c r="F43" s="96"/>
      <c r="G43" s="93"/>
      <c r="H43" s="179"/>
      <c r="I43" s="180"/>
      <c r="J43" s="94"/>
    </row>
    <row r="44" spans="1:12" x14ac:dyDescent="0.25">
      <c r="A44" s="90"/>
      <c r="B44" s="91"/>
      <c r="C44" s="91"/>
      <c r="D44" s="91"/>
      <c r="E44" s="91"/>
      <c r="F44" s="92"/>
      <c r="G44" s="93"/>
      <c r="H44" s="179"/>
      <c r="I44" s="180"/>
      <c r="J44" s="94"/>
    </row>
    <row r="45" spans="1:12" x14ac:dyDescent="0.25">
      <c r="A45" s="90"/>
      <c r="B45" s="95"/>
      <c r="C45" s="95"/>
      <c r="D45" s="95"/>
      <c r="E45" s="95"/>
      <c r="F45" s="96"/>
      <c r="G45" s="93"/>
      <c r="H45" s="179"/>
      <c r="I45" s="180"/>
      <c r="J45" s="94"/>
    </row>
    <row r="46" spans="1:12" x14ac:dyDescent="0.25">
      <c r="A46" s="97"/>
      <c r="B46" s="95"/>
      <c r="C46" s="95"/>
      <c r="D46" s="95"/>
      <c r="E46" s="95"/>
      <c r="F46" s="96"/>
      <c r="G46" s="93"/>
      <c r="H46" s="179"/>
      <c r="I46" s="180"/>
      <c r="J46" s="94"/>
    </row>
    <row r="47" spans="1:12" x14ac:dyDescent="0.25">
      <c r="A47" s="98"/>
      <c r="B47" s="99"/>
      <c r="C47" s="99"/>
      <c r="D47" s="99"/>
      <c r="E47" s="99"/>
      <c r="F47" s="100"/>
      <c r="G47" s="101"/>
      <c r="H47" s="221"/>
      <c r="I47" s="222"/>
      <c r="J47" s="102"/>
    </row>
    <row r="48" spans="1:12" ht="27" customHeight="1" x14ac:dyDescent="0.25">
      <c r="A48" s="103"/>
      <c r="B48" s="104"/>
      <c r="C48" s="104"/>
      <c r="D48" s="104"/>
      <c r="E48" s="104"/>
      <c r="F48" s="104"/>
      <c r="G48" s="104"/>
      <c r="H48" s="104"/>
      <c r="I48" s="104"/>
      <c r="J48" s="105"/>
      <c r="K48" s="106"/>
      <c r="L48" s="105"/>
    </row>
    <row r="49" spans="1:16" ht="27" customHeight="1" x14ac:dyDescent="0.3">
      <c r="A49" s="57" t="s">
        <v>90</v>
      </c>
      <c r="B49" s="75"/>
      <c r="C49" s="75"/>
      <c r="D49" s="75"/>
      <c r="E49" s="75"/>
      <c r="F49" s="75"/>
      <c r="G49" s="75"/>
      <c r="H49" s="75"/>
      <c r="I49" s="75"/>
      <c r="J49" s="76"/>
      <c r="P49" s="107"/>
    </row>
    <row r="50" spans="1:16" ht="15.75" x14ac:dyDescent="0.25">
      <c r="A50" s="108" t="s">
        <v>91</v>
      </c>
      <c r="B50" s="109" t="s">
        <v>85</v>
      </c>
      <c r="C50" s="110"/>
      <c r="D50" s="111"/>
      <c r="E50" s="109" t="s">
        <v>92</v>
      </c>
      <c r="F50" s="111"/>
      <c r="G50" s="111"/>
      <c r="H50" s="111"/>
      <c r="I50" s="112"/>
      <c r="J50" s="113" t="s">
        <v>93</v>
      </c>
      <c r="K50" s="113" t="s">
        <v>86</v>
      </c>
      <c r="L50" s="113" t="s">
        <v>87</v>
      </c>
      <c r="P50" s="114"/>
    </row>
    <row r="51" spans="1:16" ht="38.450000000000003" customHeight="1" x14ac:dyDescent="0.3">
      <c r="A51" s="115"/>
      <c r="B51" s="223"/>
      <c r="C51" s="224"/>
      <c r="D51" s="225"/>
      <c r="E51" s="223"/>
      <c r="F51" s="224"/>
      <c r="G51" s="224"/>
      <c r="H51" s="224"/>
      <c r="I51" s="225"/>
      <c r="J51" s="117"/>
      <c r="K51" s="116"/>
      <c r="L51" s="118"/>
      <c r="P51" s="119"/>
    </row>
    <row r="52" spans="1:16" ht="15.75" x14ac:dyDescent="0.25">
      <c r="A52" s="103"/>
      <c r="B52" s="104"/>
      <c r="C52" s="104"/>
      <c r="D52" s="104"/>
      <c r="E52" s="104"/>
      <c r="F52" s="104"/>
      <c r="G52" s="104"/>
      <c r="H52" s="104"/>
      <c r="I52" s="104"/>
      <c r="J52" s="105"/>
      <c r="K52" s="106"/>
      <c r="L52" s="105"/>
      <c r="P52" s="107"/>
    </row>
    <row r="53" spans="1:16" ht="15.75" x14ac:dyDescent="0.25">
      <c r="A53" s="69"/>
      <c r="B53" s="91"/>
      <c r="C53" s="91"/>
      <c r="D53" s="91"/>
      <c r="E53" s="91"/>
      <c r="F53" s="91"/>
      <c r="G53" s="120"/>
      <c r="H53" s="120"/>
      <c r="I53" s="120"/>
      <c r="J53" s="121"/>
      <c r="P53" s="114"/>
    </row>
    <row r="54" spans="1:16" x14ac:dyDescent="0.25">
      <c r="A54" s="69"/>
      <c r="B54" s="226"/>
      <c r="C54" s="226"/>
      <c r="D54" s="226"/>
      <c r="E54" s="226"/>
      <c r="F54" s="226"/>
      <c r="G54" s="95"/>
      <c r="H54" s="227"/>
      <c r="I54" s="227"/>
      <c r="J54" s="55"/>
    </row>
    <row r="55" spans="1:16" ht="18.75" customHeight="1" x14ac:dyDescent="0.3">
      <c r="A55" s="57" t="s">
        <v>94</v>
      </c>
      <c r="B55" s="75"/>
      <c r="C55" s="75"/>
      <c r="D55" s="75"/>
      <c r="E55" s="75"/>
      <c r="F55" s="75"/>
      <c r="G55" s="76"/>
      <c r="H55" s="76"/>
      <c r="I55" s="76"/>
      <c r="J55" s="76"/>
    </row>
    <row r="56" spans="1:16" ht="18.75" customHeight="1" x14ac:dyDescent="0.25">
      <c r="A56" s="206"/>
      <c r="B56" s="208"/>
      <c r="C56" s="209"/>
      <c r="D56" s="209"/>
      <c r="E56" s="209"/>
      <c r="F56" s="209"/>
      <c r="G56" s="209"/>
      <c r="H56" s="209"/>
      <c r="I56" s="209"/>
      <c r="J56" s="210"/>
    </row>
    <row r="57" spans="1:16" ht="18.75" customHeight="1" x14ac:dyDescent="0.25">
      <c r="A57" s="207"/>
      <c r="B57" s="211"/>
      <c r="C57" s="212"/>
      <c r="D57" s="212"/>
      <c r="E57" s="212"/>
      <c r="F57" s="212"/>
      <c r="G57" s="212"/>
      <c r="H57" s="212"/>
      <c r="I57" s="212"/>
      <c r="J57" s="213"/>
    </row>
    <row r="58" spans="1:16" x14ac:dyDescent="0.25">
      <c r="A58" s="122"/>
      <c r="B58" s="123"/>
      <c r="C58" s="123"/>
      <c r="D58" s="123"/>
      <c r="E58" s="123"/>
      <c r="F58" s="123"/>
      <c r="G58" s="123"/>
      <c r="H58" s="123"/>
      <c r="I58" s="123"/>
      <c r="J58" s="123"/>
    </row>
    <row r="59" spans="1:16" x14ac:dyDescent="0.25">
      <c r="A59" s="122"/>
      <c r="B59" s="123"/>
      <c r="C59" s="123"/>
      <c r="D59" s="123"/>
      <c r="E59" s="123"/>
      <c r="F59" s="123"/>
      <c r="G59" s="123"/>
      <c r="H59" s="123"/>
      <c r="I59" s="123"/>
      <c r="J59" s="123"/>
    </row>
    <row r="60" spans="1:16" x14ac:dyDescent="0.25">
      <c r="A60" s="122"/>
      <c r="B60" s="123"/>
      <c r="C60" s="123"/>
      <c r="D60" s="123"/>
      <c r="E60" s="123"/>
      <c r="F60" s="123"/>
      <c r="G60" s="123"/>
      <c r="H60" s="123"/>
      <c r="I60" s="123"/>
      <c r="J60" s="123"/>
    </row>
    <row r="61" spans="1:16" x14ac:dyDescent="0.25">
      <c r="A61" s="122"/>
      <c r="B61" s="214"/>
      <c r="C61" s="214"/>
      <c r="D61" s="214"/>
      <c r="E61" s="214"/>
      <c r="F61" s="214"/>
      <c r="G61" s="214"/>
      <c r="H61" s="214"/>
      <c r="I61" s="214"/>
      <c r="J61" s="214"/>
    </row>
    <row r="62" spans="1:16" x14ac:dyDescent="0.25">
      <c r="A62" s="69"/>
      <c r="B62" s="91"/>
      <c r="E62" s="124"/>
    </row>
    <row r="63" spans="1:16" x14ac:dyDescent="0.25">
      <c r="A63" s="69"/>
    </row>
    <row r="64" spans="1:16" ht="16.5" x14ac:dyDescent="0.3">
      <c r="A64" s="57" t="s">
        <v>95</v>
      </c>
      <c r="B64" s="215"/>
      <c r="C64" s="216"/>
      <c r="D64" s="216"/>
      <c r="E64" s="216"/>
      <c r="F64" s="216"/>
      <c r="G64" s="216"/>
      <c r="H64" s="216"/>
      <c r="I64" s="217"/>
      <c r="J64" s="125"/>
    </row>
    <row r="65" spans="2:10" x14ac:dyDescent="0.25">
      <c r="B65" s="218"/>
      <c r="C65" s="219"/>
      <c r="D65" s="219"/>
      <c r="E65" s="219"/>
      <c r="F65" s="219"/>
      <c r="G65" s="219"/>
      <c r="H65" s="219"/>
      <c r="I65" s="220"/>
      <c r="J65" s="125"/>
    </row>
  </sheetData>
  <mergeCells count="25">
    <mergeCell ref="A56:A57"/>
    <mergeCell ref="B56:J57"/>
    <mergeCell ref="B61:J61"/>
    <mergeCell ref="B64:I65"/>
    <mergeCell ref="H43:I43"/>
    <mergeCell ref="H44:I44"/>
    <mergeCell ref="H45:I45"/>
    <mergeCell ref="H46:I46"/>
    <mergeCell ref="H47:I47"/>
    <mergeCell ref="B51:D51"/>
    <mergeCell ref="E51:I51"/>
    <mergeCell ref="B54:F54"/>
    <mergeCell ref="H54:I54"/>
    <mergeCell ref="H42:I42"/>
    <mergeCell ref="H1:K3"/>
    <mergeCell ref="B18:I18"/>
    <mergeCell ref="B24:I28"/>
    <mergeCell ref="B30:D30"/>
    <mergeCell ref="B31:D31"/>
    <mergeCell ref="H37:I37"/>
    <mergeCell ref="H38:I38"/>
    <mergeCell ref="B39:F39"/>
    <mergeCell ref="H39:I39"/>
    <mergeCell ref="H40:I40"/>
    <mergeCell ref="H41:I41"/>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15C85-9F97-46BF-84A9-BE9E7AEAE1E3}">
  <sheetPr codeName="Sheet18"/>
  <dimension ref="B1:K9"/>
  <sheetViews>
    <sheetView topLeftCell="E1" workbookViewId="0">
      <selection activeCell="G13" sqref="G13"/>
    </sheetView>
  </sheetViews>
  <sheetFormatPr defaultRowHeight="15" x14ac:dyDescent="0.25"/>
  <cols>
    <col min="2" max="2" width="11.42578125" style="126" bestFit="1" customWidth="1"/>
    <col min="3" max="3" width="23.85546875" style="52" customWidth="1"/>
    <col min="4" max="4" width="16" style="52" customWidth="1"/>
    <col min="5" max="5" width="10.42578125" style="52" customWidth="1"/>
    <col min="6" max="6" width="7.5703125" style="138" customWidth="1"/>
    <col min="7" max="7" width="54.42578125" style="139" customWidth="1"/>
    <col min="8" max="11" width="16.140625" style="140" customWidth="1"/>
  </cols>
  <sheetData>
    <row r="1" spans="2:11" x14ac:dyDescent="0.25">
      <c r="F1" s="127"/>
      <c r="G1" s="128"/>
      <c r="H1" s="128"/>
      <c r="I1" s="128"/>
      <c r="J1" s="128"/>
      <c r="K1" s="128"/>
    </row>
    <row r="2" spans="2:11" x14ac:dyDescent="0.25">
      <c r="B2" s="129" t="s">
        <v>96</v>
      </c>
      <c r="C2" s="130" t="s">
        <v>97</v>
      </c>
      <c r="D2" s="131">
        <v>45019</v>
      </c>
      <c r="F2" s="127"/>
      <c r="G2" s="128"/>
      <c r="H2" s="128"/>
      <c r="I2" s="128"/>
      <c r="J2" s="128"/>
      <c r="K2" s="128"/>
    </row>
    <row r="3" spans="2:11" x14ac:dyDescent="0.25">
      <c r="B3" s="129" t="s">
        <v>98</v>
      </c>
      <c r="C3" s="130"/>
      <c r="D3" s="131"/>
      <c r="F3" s="132" t="s">
        <v>99</v>
      </c>
      <c r="G3" s="133" t="s">
        <v>100</v>
      </c>
      <c r="H3" s="133" t="s">
        <v>101</v>
      </c>
      <c r="I3" s="133" t="s">
        <v>87</v>
      </c>
      <c r="J3" s="133" t="s">
        <v>102</v>
      </c>
      <c r="K3" s="133" t="s">
        <v>87</v>
      </c>
    </row>
    <row r="4" spans="2:11" x14ac:dyDescent="0.25">
      <c r="F4" s="134" t="s">
        <v>103</v>
      </c>
      <c r="G4" s="135" t="s">
        <v>105</v>
      </c>
      <c r="H4" s="136" t="s">
        <v>97</v>
      </c>
      <c r="I4" s="137">
        <v>46003</v>
      </c>
      <c r="J4" s="137" t="s">
        <v>104</v>
      </c>
      <c r="K4" s="137"/>
    </row>
    <row r="5" spans="2:11" ht="45" x14ac:dyDescent="0.25">
      <c r="F5" s="138" t="s">
        <v>163</v>
      </c>
      <c r="G5" s="139" t="s">
        <v>164</v>
      </c>
      <c r="H5" s="136" t="s">
        <v>97</v>
      </c>
      <c r="I5" s="141">
        <v>46034</v>
      </c>
    </row>
    <row r="6" spans="2:11" x14ac:dyDescent="0.25">
      <c r="H6" s="136"/>
      <c r="I6" s="141"/>
    </row>
    <row r="7" spans="2:11" x14ac:dyDescent="0.25">
      <c r="H7" s="136"/>
      <c r="I7" s="141"/>
    </row>
    <row r="8" spans="2:11" x14ac:dyDescent="0.25">
      <c r="H8" s="136"/>
      <c r="I8" s="141"/>
    </row>
    <row r="9" spans="2:11" x14ac:dyDescent="0.25">
      <c r="H9" s="136"/>
      <c r="I9" s="141"/>
      <c r="K9" s="141"/>
    </row>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1758D-7D70-4B37-B71A-560471E0E307}">
  <dimension ref="B1:B10"/>
  <sheetViews>
    <sheetView workbookViewId="0">
      <selection activeCell="C3" sqref="C3"/>
    </sheetView>
  </sheetViews>
  <sheetFormatPr defaultRowHeight="15" x14ac:dyDescent="0.25"/>
  <cols>
    <col min="2" max="2" width="72.85546875" customWidth="1"/>
    <col min="3" max="3" width="11.5703125" bestFit="1" customWidth="1"/>
  </cols>
  <sheetData>
    <row r="1" spans="2:2" ht="15.75" thickBot="1" x14ac:dyDescent="0.3"/>
    <row r="2" spans="2:2" ht="15.75" thickBot="1" x14ac:dyDescent="0.3">
      <c r="B2" s="5" t="s">
        <v>15</v>
      </c>
    </row>
    <row r="3" spans="2:2" ht="45" x14ac:dyDescent="0.25">
      <c r="B3" s="8" t="s">
        <v>106</v>
      </c>
    </row>
    <row r="4" spans="2:2" ht="15.75" thickBot="1" x14ac:dyDescent="0.3">
      <c r="B4" s="29" t="s">
        <v>4</v>
      </c>
    </row>
    <row r="5" spans="2:2" x14ac:dyDescent="0.25">
      <c r="B5" s="28" t="s">
        <v>55</v>
      </c>
    </row>
    <row r="6" spans="2:2" x14ac:dyDescent="0.25">
      <c r="B6" s="28" t="s">
        <v>56</v>
      </c>
    </row>
    <row r="7" spans="2:2" ht="30" x14ac:dyDescent="0.25">
      <c r="B7" s="8" t="s">
        <v>31</v>
      </c>
    </row>
    <row r="8" spans="2:2" x14ac:dyDescent="0.25">
      <c r="B8" s="28" t="s">
        <v>32</v>
      </c>
    </row>
    <row r="9" spans="2:2" x14ac:dyDescent="0.25">
      <c r="B9" s="28" t="s">
        <v>33</v>
      </c>
    </row>
    <row r="10" spans="2:2" ht="30.75" thickBot="1" x14ac:dyDescent="0.3">
      <c r="B10" s="4"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9591A-7D60-422C-8939-E29D76C38E64}">
  <dimension ref="A1:AC37"/>
  <sheetViews>
    <sheetView topLeftCell="B1" workbookViewId="0">
      <selection activeCell="K7" sqref="K7"/>
    </sheetView>
  </sheetViews>
  <sheetFormatPr defaultRowHeight="15" x14ac:dyDescent="0.25"/>
  <cols>
    <col min="1" max="1" width="17.140625" style="27" customWidth="1"/>
    <col min="2" max="2" width="25.5703125" style="27" customWidth="1"/>
    <col min="3" max="4" width="18.85546875" style="27" hidden="1" customWidth="1"/>
    <col min="5" max="5" width="0" hidden="1" customWidth="1"/>
    <col min="6" max="6" width="20.140625" customWidth="1"/>
    <col min="8" max="8" width="35" customWidth="1"/>
    <col min="10" max="10" width="23.5703125" customWidth="1"/>
    <col min="11" max="11" width="24.140625" customWidth="1"/>
    <col min="12" max="12" width="20.5703125" customWidth="1"/>
    <col min="14" max="14" width="8.85546875" hidden="1" customWidth="1"/>
    <col min="15" max="15" width="21.85546875" hidden="1" customWidth="1"/>
    <col min="16" max="20" width="28.42578125" hidden="1" customWidth="1"/>
    <col min="21" max="28" width="8.85546875" hidden="1" customWidth="1"/>
  </cols>
  <sheetData>
    <row r="1" spans="1:29" ht="15.75" thickBot="1" x14ac:dyDescent="0.3">
      <c r="A1" s="1" t="s">
        <v>109</v>
      </c>
      <c r="B1" s="1"/>
      <c r="C1" s="1"/>
      <c r="D1" s="1"/>
      <c r="N1" s="1" t="s">
        <v>51</v>
      </c>
      <c r="O1" s="1" t="s">
        <v>44</v>
      </c>
      <c r="P1" s="1" t="s">
        <v>45</v>
      </c>
      <c r="Q1" s="1" t="s">
        <v>115</v>
      </c>
      <c r="R1" s="1" t="s">
        <v>116</v>
      </c>
      <c r="S1" s="1" t="s">
        <v>110</v>
      </c>
      <c r="T1" s="1" t="s">
        <v>116</v>
      </c>
      <c r="U1" s="1" t="s">
        <v>1</v>
      </c>
      <c r="V1" s="1" t="s">
        <v>46</v>
      </c>
      <c r="W1" s="1" t="s">
        <v>47</v>
      </c>
      <c r="X1" s="236" t="s">
        <v>49</v>
      </c>
      <c r="Y1" s="236"/>
      <c r="Z1" s="236"/>
      <c r="AA1" s="1" t="s">
        <v>48</v>
      </c>
      <c r="AB1" s="1" t="s">
        <v>117</v>
      </c>
      <c r="AC1" s="1"/>
    </row>
    <row r="2" spans="1:29" ht="15.75" thickBot="1" x14ac:dyDescent="0.3">
      <c r="A2" s="1" t="s">
        <v>1</v>
      </c>
      <c r="B2" s="1" t="s">
        <v>2</v>
      </c>
      <c r="C2" s="1" t="s">
        <v>3</v>
      </c>
      <c r="D2" s="1" t="s">
        <v>116</v>
      </c>
      <c r="F2" s="30" t="s">
        <v>26</v>
      </c>
      <c r="H2" s="32" t="s">
        <v>15</v>
      </c>
      <c r="I2" s="1"/>
      <c r="J2" t="s">
        <v>108</v>
      </c>
      <c r="K2" s="237" t="s">
        <v>198</v>
      </c>
      <c r="L2" s="238"/>
      <c r="N2" t="s">
        <v>52</v>
      </c>
      <c r="O2" t="str" cm="1">
        <f t="array" aca="1" ref="O2:O10" ca="1">_xlfn._xlws.SORT(_xlfn._xlws.FILTER(TRANSPOSE(INDIRECT("'ModelIT Tabular Data'!A1:"&amp;ADDRESS(1,COUNTA('ModelIT Tabular Data'!1:1)))),NOT(ISERR(SEARCH("(Grouping Scheme)",TRANSPOSE(INDIRECT("'ModelIT Tabular Data'!A1:"&amp;ADDRESS(1,COUNTA('ModelIT Tabular Data'!1:1)))))))))</f>
        <v>DHW Zones (Grouping Scheme) (Real)</v>
      </c>
      <c r="P2" t="str" cm="1">
        <f t="array" aca="1" ref="P2" ca="1">_xlfn._xlws.SORT(_xlfn.UNIQUE(INDIRECT("'ModelIT Tabular Data'!"&amp;ADDRESS(2,MATCH(K2,'ModelIT Tabular Data'!1:1,0))&amp;":"&amp;ADDRESS(COUNTA('ModelIT Tabular Data'!A:A),MATCH(K2,'ModelIT Tabular Data'!1:1,0)))))</f>
        <v>FAB LABS</v>
      </c>
      <c r="Q2" cm="1">
        <f t="array" ref="Q2:Q31">_xlfn.TOCOL(J7:L16)</f>
        <v>0</v>
      </c>
      <c r="R2" cm="1">
        <f t="array" ref="R2:R31">MOD(_xlfn.SEQUENCE(ROWS(_xlfn.ANCHORARRAY(Q2)),,0),3)+1</f>
        <v>1</v>
      </c>
      <c r="S2" t="str" cm="1">
        <f t="array" ref="S2">_xlfn._xlws.FILTER(_xlfn.ANCHORARRAY(Q2),_xlfn.ANCHORARRAY(Q2)&gt;0)</f>
        <v>FAB LABS</v>
      </c>
      <c r="T2" cm="1">
        <f t="array" ref="T2">_xlfn._xlws.FILTER(_xlfn.ANCHORARRAY(R2),_xlfn.ANCHORARRAY(Q2)&gt;0)</f>
        <v>2</v>
      </c>
      <c r="U2" t="str" cm="1">
        <f t="array" aca="1" ref="U2:U10" ca="1">INDIRECT("'ModelIT Tabular Data'!"&amp;ADDRESS(2,MATCH("Space ID",'ModelIT Tabular Data'!1:1,0))&amp;":"&amp;ADDRESS(COUNTA('ModelIT Tabular Data'!A:A),MATCH("Space ID",'ModelIT Tabular Data'!1:1,0)))</f>
        <v>L000002F</v>
      </c>
      <c r="V2" t="str" cm="1">
        <f t="array" aca="1" ref="V2:V10" ca="1">INDIRECT("'ModelIT Tabular Data'!"&amp;ADDRESS(2,MATCH("Space Name (Real)",'ModelIT Tabular Data'!1:1,0))&amp;":"&amp;ADDRESS(COUNTA('ModelIT Tabular Data'!A:A),MATCH("Space Name (Real)",'ModelIT Tabular Data'!1:1,0)))</f>
        <v>L00 FAB LAB 01</v>
      </c>
      <c r="W2" t="str" cm="1">
        <f t="array" aca="1" ref="W2:W10" ca="1">INDIRECT("'ModelIT Tabular Data'!"&amp;ADDRESS(2,MATCH(K2,'ModelIT Tabular Data'!1:1,0))&amp;":"&amp;ADDRESS(COUNTA('ModelIT Tabular Data'!A:A),MATCH(K2,'ModelIT Tabular Data'!1:1,0)))</f>
        <v>FAB LABS</v>
      </c>
      <c r="X2" t="str" cm="1">
        <f t="array" aca="1" ref="X2:X10" ca="1">IF(EXACT(K3,N3),_xlfn.SORTBY(_xlfn.SORTBY(_xlfn.ANCHORARRAY(U2),_xlfn.ANCHORARRAY(V2)),VLOOKUP(_xlfn.SORTBY(_xlfn.ANCHORARRAY(U2),_xlfn.ANCHORARRAY(V2)),U:W,3,FALSE)),_xlfn.SORTBY(_xlfn.ANCHORARRAY(U2),_xlfn.ANCHORARRAY(V2)))</f>
        <v>L000002F</v>
      </c>
      <c r="Y2" t="str" cm="1">
        <f t="array" aca="1" ref="Y2:Y10" ca="1">VLOOKUP(_xlfn.ANCHORARRAY(X2),U:W,2,FALSE)</f>
        <v>L00 FAB LAB 01</v>
      </c>
      <c r="Z2" t="str" cm="1">
        <f t="array" aca="1" ref="Z2:Z10" ca="1">VLOOKUP(_xlfn.ANCHORARRAY(X2),U:W,3,FALSE)</f>
        <v>FAB LABS</v>
      </c>
      <c r="AA2" cm="1">
        <f t="array" ref="AA2:AA11">_xlfn.SEQUENCE(ROWS(K7:K16),,,0)</f>
        <v>1</v>
      </c>
      <c r="AB2" cm="1">
        <f t="array" aca="1" ref="AB2:AB10" ca="1">MMULT(IF(EXACT(TRANSPOSE(_xlfn.ANCHORARRAY(S2)),_xlfn.ANCHORARRAY(Z2)),1,0),_xlfn.SEQUENCE(ROWS(_xlfn.ANCHORARRAY(S2)),,1,0))</f>
        <v>1</v>
      </c>
    </row>
    <row r="3" spans="1:29" ht="15" customHeight="1" thickBot="1" x14ac:dyDescent="0.3">
      <c r="A3" t="str" cm="1">
        <f t="array" aca="1" ref="A3:A11" ca="1">_xlfn._xlws.FILTER(_xlfn.ANCHORARRAY(X2),_xlfn.ANCHORARRAY(AB2))</f>
        <v>L000002F</v>
      </c>
      <c r="B3" t="str" cm="1">
        <f t="array" aca="1" ref="B3:B11" ca="1">VLOOKUP(_xlfn.ANCHORARRAY(A3),U:W,2,FALSE)</f>
        <v>L00 FAB LAB 01</v>
      </c>
      <c r="C3" t="str" cm="1">
        <f t="array" aca="1" ref="C3:C11" ca="1">VLOOKUP(_xlfn.ANCHORARRAY(A3),U:W,3,FALSE)</f>
        <v>FAB LABS</v>
      </c>
      <c r="D3" cm="1">
        <f t="array" aca="1" ref="D3:D11" ca="1">VLOOKUP(_xlfn.ANCHORARRAY(C3),S:T,2,FALSE)</f>
        <v>2</v>
      </c>
      <c r="F3" s="31" t="str">
        <f ca="1">IF(COUNTA(_xlfn.ANCHORARRAY(B3))=COUNTA(_xlfn.UNIQUE(_xlfn.ANCHORARRAY(B3))),"Unique names","Duplicate names!!!")</f>
        <v>Unique names</v>
      </c>
      <c r="H3" s="234" t="s">
        <v>154</v>
      </c>
      <c r="J3" t="s">
        <v>50</v>
      </c>
      <c r="K3" s="237" t="s">
        <v>47</v>
      </c>
      <c r="L3" s="238"/>
      <c r="N3" t="s">
        <v>47</v>
      </c>
      <c r="O3" t="str">
        <f ca="1"/>
        <v>Ground Floor - Varying Char-Dimensions (Grouping Scheme) (Real)</v>
      </c>
      <c r="Q3" t="str">
        <v>FAB LABS</v>
      </c>
      <c r="R3">
        <v>2</v>
      </c>
      <c r="U3" t="str">
        <f ca="1"/>
        <v>L000003F</v>
      </c>
      <c r="V3" t="str">
        <f ca="1"/>
        <v>L00 FAB LAB 02</v>
      </c>
      <c r="W3" t="str">
        <f ca="1"/>
        <v>FAB LABS</v>
      </c>
      <c r="X3" t="str">
        <f ca="1"/>
        <v>L000003F</v>
      </c>
      <c r="Y3" t="str">
        <f ca="1"/>
        <v>L00 FAB LAB 02</v>
      </c>
      <c r="Z3" t="str">
        <f ca="1"/>
        <v>FAB LABS</v>
      </c>
      <c r="AA3">
        <v>1</v>
      </c>
      <c r="AB3">
        <f ca="1"/>
        <v>1</v>
      </c>
    </row>
    <row r="4" spans="1:29" ht="15.75" thickBot="1" x14ac:dyDescent="0.3">
      <c r="A4" s="27" t="str">
        <f ca="1"/>
        <v>L000003F</v>
      </c>
      <c r="B4" s="27" t="str">
        <f ca="1"/>
        <v>L00 FAB LAB 02</v>
      </c>
      <c r="C4" s="27" t="str">
        <f ca="1"/>
        <v>FAB LABS</v>
      </c>
      <c r="D4" s="27">
        <f ca="1"/>
        <v>2</v>
      </c>
      <c r="H4" s="235"/>
      <c r="O4" t="str">
        <f ca="1"/>
        <v>INCLUDE IN PART L? (Grouping Scheme) (Real)</v>
      </c>
      <c r="Q4">
        <v>0</v>
      </c>
      <c r="R4">
        <v>3</v>
      </c>
      <c r="U4" t="str">
        <f ca="1"/>
        <v>L0000041</v>
      </c>
      <c r="V4" t="str">
        <f ca="1"/>
        <v>L00 FAB LAB 03</v>
      </c>
      <c r="W4" t="str">
        <f ca="1"/>
        <v>FAB LABS</v>
      </c>
      <c r="X4" t="str">
        <f ca="1"/>
        <v>L0000041</v>
      </c>
      <c r="Y4" t="str">
        <f ca="1"/>
        <v>L00 FAB LAB 03</v>
      </c>
      <c r="Z4" t="str">
        <f ca="1"/>
        <v>FAB LABS</v>
      </c>
      <c r="AA4">
        <v>1</v>
      </c>
      <c r="AB4">
        <f ca="1"/>
        <v>1</v>
      </c>
    </row>
    <row r="5" spans="1:29" x14ac:dyDescent="0.25">
      <c r="A5" s="27" t="str">
        <f ca="1"/>
        <v>L0000041</v>
      </c>
      <c r="B5" s="27" t="str">
        <f ca="1"/>
        <v>L00 FAB LAB 03</v>
      </c>
      <c r="C5" s="27" t="str">
        <f ca="1"/>
        <v>FAB LABS</v>
      </c>
      <c r="D5" s="27">
        <f ca="1"/>
        <v>2</v>
      </c>
      <c r="F5" s="30" t="s">
        <v>43</v>
      </c>
      <c r="H5" s="235"/>
      <c r="J5" s="241" t="s">
        <v>114</v>
      </c>
      <c r="K5" s="241"/>
      <c r="L5" s="241"/>
      <c r="O5" t="str">
        <f ca="1"/>
        <v>LEVEL (Grouping Scheme) (Real)</v>
      </c>
      <c r="Q5">
        <v>0</v>
      </c>
      <c r="R5">
        <v>1</v>
      </c>
      <c r="U5" t="str">
        <f ca="1"/>
        <v>L000002B</v>
      </c>
      <c r="V5" t="str">
        <f ca="1"/>
        <v>L01 FAB LAB 06</v>
      </c>
      <c r="W5" t="str">
        <f ca="1"/>
        <v>FAB LABS</v>
      </c>
      <c r="X5" t="str">
        <f ca="1"/>
        <v>L000000F</v>
      </c>
      <c r="Y5" t="str">
        <f ca="1"/>
        <v>L00 FAB LAB 04</v>
      </c>
      <c r="Z5" t="str">
        <f ca="1"/>
        <v>FAB LABS</v>
      </c>
      <c r="AA5">
        <v>1</v>
      </c>
      <c r="AB5">
        <f ca="1"/>
        <v>1</v>
      </c>
    </row>
    <row r="6" spans="1:29" ht="14.45" customHeight="1" x14ac:dyDescent="0.25">
      <c r="A6" s="27" t="str">
        <f ca="1"/>
        <v>L000000F</v>
      </c>
      <c r="B6" s="27" t="str">
        <f ca="1"/>
        <v>L00 FAB LAB 04</v>
      </c>
      <c r="C6" s="27" t="str">
        <f ca="1"/>
        <v>FAB LABS</v>
      </c>
      <c r="D6" s="27">
        <f ca="1"/>
        <v>2</v>
      </c>
      <c r="F6" s="232" t="str" cm="1">
        <f t="array" aca="1" ref="F6" ca="1">IF(OR(EXACT(LEFT(_xlfn.UNIQUE(B:B),1)," "),EXACT(RIGHT(_xlfn.UNIQUE(B:B),1)," ")),"Leading or trailing spaces detected - please change names in model","No problems")</f>
        <v>No problems</v>
      </c>
      <c r="H6" s="239" t="s">
        <v>53</v>
      </c>
      <c r="J6" t="s">
        <v>111</v>
      </c>
      <c r="K6" t="s">
        <v>112</v>
      </c>
      <c r="L6" t="s">
        <v>113</v>
      </c>
      <c r="O6" t="str">
        <f ca="1"/>
        <v>LIGHTING CONTROLS (Grouping Scheme) (Real)</v>
      </c>
      <c r="Q6">
        <v>0</v>
      </c>
      <c r="R6">
        <v>2</v>
      </c>
      <c r="U6" t="str">
        <f ca="1"/>
        <v>L0000044</v>
      </c>
      <c r="V6" t="str">
        <f ca="1"/>
        <v>L01 FAB LAB 07</v>
      </c>
      <c r="W6" t="str">
        <f ca="1"/>
        <v>FAB LABS</v>
      </c>
      <c r="X6" t="str">
        <f ca="1"/>
        <v>L000000E</v>
      </c>
      <c r="Y6" t="str">
        <f ca="1"/>
        <v>L01 FAB LAB 05</v>
      </c>
      <c r="Z6" t="str">
        <f ca="1"/>
        <v>FAB LABS</v>
      </c>
      <c r="AA6">
        <v>1</v>
      </c>
      <c r="AB6">
        <f ca="1"/>
        <v>1</v>
      </c>
    </row>
    <row r="7" spans="1:29" x14ac:dyDescent="0.25">
      <c r="A7" s="27" t="str">
        <f ca="1"/>
        <v>L000000E</v>
      </c>
      <c r="B7" s="27" t="str">
        <f ca="1"/>
        <v>L01 FAB LAB 05</v>
      </c>
      <c r="C7" s="27" t="str">
        <f ca="1"/>
        <v>FAB LABS</v>
      </c>
      <c r="D7" s="27">
        <f ca="1"/>
        <v>2</v>
      </c>
      <c r="F7" s="232"/>
      <c r="H7" s="239"/>
      <c r="J7" s="2"/>
      <c r="K7" s="2" t="s">
        <v>229</v>
      </c>
      <c r="L7" s="2"/>
      <c r="O7" t="str">
        <f ca="1"/>
        <v>Shading Schemes (Grouping Scheme) (Real)</v>
      </c>
      <c r="Q7">
        <v>0</v>
      </c>
      <c r="R7">
        <v>3</v>
      </c>
      <c r="U7" t="str">
        <f ca="1"/>
        <v>L0000045</v>
      </c>
      <c r="V7" t="str">
        <f ca="1"/>
        <v>L01 FAB LAB 08</v>
      </c>
      <c r="W7" t="str">
        <f ca="1"/>
        <v>FAB LABS</v>
      </c>
      <c r="X7" t="str">
        <f ca="1"/>
        <v>L000002B</v>
      </c>
      <c r="Y7" t="str">
        <f ca="1"/>
        <v>L01 FAB LAB 06</v>
      </c>
      <c r="Z7" t="str">
        <f ca="1"/>
        <v>FAB LABS</v>
      </c>
      <c r="AA7">
        <v>1</v>
      </c>
      <c r="AB7">
        <f ca="1"/>
        <v>1</v>
      </c>
    </row>
    <row r="8" spans="1:29" x14ac:dyDescent="0.25">
      <c r="A8" s="27" t="str">
        <f ca="1"/>
        <v>L000002B</v>
      </c>
      <c r="B8" s="27" t="str">
        <f ca="1"/>
        <v>L01 FAB LAB 06</v>
      </c>
      <c r="C8" s="27" t="str">
        <f ca="1"/>
        <v>FAB LABS</v>
      </c>
      <c r="D8" s="27">
        <f ca="1"/>
        <v>2</v>
      </c>
      <c r="F8" s="232"/>
      <c r="H8" s="239"/>
      <c r="J8" s="2"/>
      <c r="K8" s="2"/>
      <c r="L8" s="2"/>
      <c r="O8" t="str">
        <f ca="1"/>
        <v>SPACE TYPE (Grouping Scheme) (Real)</v>
      </c>
      <c r="Q8">
        <v>0</v>
      </c>
      <c r="R8">
        <v>1</v>
      </c>
      <c r="U8" t="str">
        <f ca="1"/>
        <v>L000000F</v>
      </c>
      <c r="V8" t="str">
        <f ca="1"/>
        <v>L00 FAB LAB 04</v>
      </c>
      <c r="W8" t="str">
        <f ca="1"/>
        <v>FAB LABS</v>
      </c>
      <c r="X8" t="str">
        <f ca="1"/>
        <v>L0000044</v>
      </c>
      <c r="Y8" t="str">
        <f ca="1"/>
        <v>L01 FAB LAB 07</v>
      </c>
      <c r="Z8" t="str">
        <f ca="1"/>
        <v>FAB LABS</v>
      </c>
      <c r="AA8">
        <v>1</v>
      </c>
      <c r="AB8">
        <f ca="1"/>
        <v>1</v>
      </c>
    </row>
    <row r="9" spans="1:29" ht="15.75" thickBot="1" x14ac:dyDescent="0.3">
      <c r="A9" s="27" t="str">
        <f ca="1"/>
        <v>L0000044</v>
      </c>
      <c r="B9" s="27" t="str">
        <f ca="1"/>
        <v>L01 FAB LAB 07</v>
      </c>
      <c r="C9" s="27" t="str">
        <f ca="1"/>
        <v>FAB LABS</v>
      </c>
      <c r="D9" s="27">
        <f ca="1"/>
        <v>2</v>
      </c>
      <c r="F9" s="233"/>
      <c r="H9" s="41"/>
      <c r="J9" s="2"/>
      <c r="K9" s="2"/>
      <c r="L9" s="2"/>
      <c r="O9" t="str">
        <f ca="1"/>
        <v>Storeys (Grouping Scheme) (Real)</v>
      </c>
      <c r="Q9">
        <v>0</v>
      </c>
      <c r="R9">
        <v>2</v>
      </c>
      <c r="U9" t="str">
        <f ca="1"/>
        <v>L0000009</v>
      </c>
      <c r="V9" t="str">
        <f ca="1"/>
        <v>L01 FAB LAB 09</v>
      </c>
      <c r="W9" t="str">
        <f ca="1"/>
        <v>FAB LABS</v>
      </c>
      <c r="X9" t="str">
        <f ca="1"/>
        <v>L0000045</v>
      </c>
      <c r="Y9" t="str">
        <f ca="1"/>
        <v>L01 FAB LAB 08</v>
      </c>
      <c r="Z9" t="str">
        <f ca="1"/>
        <v>FAB LABS</v>
      </c>
      <c r="AA9">
        <v>1</v>
      </c>
      <c r="AB9">
        <f ca="1"/>
        <v>1</v>
      </c>
    </row>
    <row r="10" spans="1:29" ht="14.45" customHeight="1" thickBot="1" x14ac:dyDescent="0.3">
      <c r="A10" s="27" t="str">
        <f ca="1"/>
        <v>L0000045</v>
      </c>
      <c r="B10" s="27" t="str">
        <f ca="1"/>
        <v>L01 FAB LAB 08</v>
      </c>
      <c r="C10" s="27" t="str">
        <f ca="1"/>
        <v>FAB LABS</v>
      </c>
      <c r="D10" s="27">
        <f ca="1"/>
        <v>2</v>
      </c>
      <c r="H10" s="33" t="s">
        <v>4</v>
      </c>
      <c r="J10" s="2"/>
      <c r="K10" s="2"/>
      <c r="L10" s="2"/>
      <c r="O10" t="str">
        <f ca="1"/>
        <v>SYSTEMS (Grouping Scheme) (Real)</v>
      </c>
      <c r="Q10">
        <v>0</v>
      </c>
      <c r="R10">
        <v>3</v>
      </c>
      <c r="U10" t="str">
        <f ca="1"/>
        <v>L000000E</v>
      </c>
      <c r="V10" t="str">
        <f ca="1"/>
        <v>L01 FAB LAB 05</v>
      </c>
      <c r="W10" t="str">
        <f ca="1"/>
        <v>FAB LABS</v>
      </c>
      <c r="X10" t="str">
        <f ca="1"/>
        <v>L0000009</v>
      </c>
      <c r="Y10" t="str">
        <f ca="1"/>
        <v>L01 FAB LAB 09</v>
      </c>
      <c r="Z10" t="str">
        <f ca="1"/>
        <v>FAB LABS</v>
      </c>
      <c r="AA10">
        <v>1</v>
      </c>
      <c r="AB10">
        <f ca="1"/>
        <v>1</v>
      </c>
    </row>
    <row r="11" spans="1:29" x14ac:dyDescent="0.25">
      <c r="A11" s="27" t="str">
        <f ca="1"/>
        <v>L0000009</v>
      </c>
      <c r="B11" s="27" t="str">
        <f ca="1"/>
        <v>L01 FAB LAB 09</v>
      </c>
      <c r="C11" s="27" t="str">
        <f ca="1"/>
        <v>FAB LABS</v>
      </c>
      <c r="D11" s="27">
        <f ca="1"/>
        <v>2</v>
      </c>
      <c r="F11" s="26" t="str" cm="1">
        <f t="array" ref="F11:F12">IF(ISERR(_xlfn.UNIQUE(_xlfn.VSTACK(_xlfn.UNIQUE('ModelIT Tabular Data'!C:C,,TRUE),_xlfn.UNIQUE('ModelIT Tabular Data'!C:C,,FALSE)),,TRUE)),"",_xlfn.VSTACK("Duplicate room names:",_xlfn.UNIQUE(_xlfn.VSTACK(_xlfn.UNIQUE('ModelIT Tabular Data'!C:C,,TRUE),_xlfn.UNIQUE('ModelIT Tabular Data'!C:C,,FALSE)),,TRUE)))</f>
        <v>Duplicate room names:</v>
      </c>
      <c r="H11" s="230" t="s">
        <v>54</v>
      </c>
      <c r="J11" s="2"/>
      <c r="K11" s="2"/>
      <c r="L11" s="2"/>
      <c r="Q11">
        <v>0</v>
      </c>
      <c r="R11">
        <v>1</v>
      </c>
      <c r="AA11">
        <v>1</v>
      </c>
    </row>
    <row r="12" spans="1:29" x14ac:dyDescent="0.25">
      <c r="F12">
        <v>0</v>
      </c>
      <c r="H12" s="228"/>
      <c r="J12" s="2"/>
      <c r="K12" s="2"/>
      <c r="L12" s="2"/>
      <c r="Q12">
        <v>0</v>
      </c>
      <c r="R12">
        <v>2</v>
      </c>
    </row>
    <row r="13" spans="1:29" x14ac:dyDescent="0.25">
      <c r="H13" s="239" t="s">
        <v>156</v>
      </c>
      <c r="J13" s="2"/>
      <c r="K13" s="2"/>
      <c r="L13" s="2"/>
      <c r="Q13">
        <v>0</v>
      </c>
      <c r="R13">
        <v>3</v>
      </c>
    </row>
    <row r="14" spans="1:29" x14ac:dyDescent="0.25">
      <c r="H14" s="239"/>
      <c r="J14" s="2"/>
      <c r="K14" s="2"/>
      <c r="L14" s="2"/>
      <c r="Q14">
        <v>0</v>
      </c>
      <c r="R14">
        <v>1</v>
      </c>
    </row>
    <row r="15" spans="1:29" x14ac:dyDescent="0.25">
      <c r="H15" s="239"/>
      <c r="J15" s="2"/>
      <c r="K15" s="2"/>
      <c r="L15" s="2"/>
      <c r="Q15">
        <v>0</v>
      </c>
      <c r="R15">
        <v>2</v>
      </c>
    </row>
    <row r="16" spans="1:29" ht="14.45" customHeight="1" x14ac:dyDescent="0.25">
      <c r="H16" s="239" t="s">
        <v>157</v>
      </c>
      <c r="J16" s="2"/>
      <c r="K16" s="2"/>
      <c r="L16" s="2"/>
      <c r="Q16">
        <v>0</v>
      </c>
      <c r="R16">
        <v>3</v>
      </c>
    </row>
    <row r="17" spans="8:18" x14ac:dyDescent="0.25">
      <c r="H17" s="239"/>
      <c r="Q17">
        <v>0</v>
      </c>
      <c r="R17">
        <v>1</v>
      </c>
    </row>
    <row r="18" spans="8:18" x14ac:dyDescent="0.25">
      <c r="H18" s="239"/>
      <c r="Q18">
        <v>0</v>
      </c>
      <c r="R18">
        <v>2</v>
      </c>
    </row>
    <row r="19" spans="8:18" x14ac:dyDescent="0.25">
      <c r="H19" s="239"/>
      <c r="Q19">
        <v>0</v>
      </c>
      <c r="R19">
        <v>3</v>
      </c>
    </row>
    <row r="20" spans="8:18" x14ac:dyDescent="0.25">
      <c r="H20" s="239"/>
      <c r="Q20">
        <v>0</v>
      </c>
      <c r="R20">
        <v>1</v>
      </c>
    </row>
    <row r="21" spans="8:18" ht="14.45" customHeight="1" x14ac:dyDescent="0.25">
      <c r="H21" s="239" t="s">
        <v>155</v>
      </c>
      <c r="Q21">
        <v>0</v>
      </c>
      <c r="R21">
        <v>2</v>
      </c>
    </row>
    <row r="22" spans="8:18" x14ac:dyDescent="0.25">
      <c r="H22" s="239"/>
      <c r="Q22">
        <v>0</v>
      </c>
      <c r="R22">
        <v>3</v>
      </c>
    </row>
    <row r="23" spans="8:18" x14ac:dyDescent="0.25">
      <c r="H23" s="240" t="s">
        <v>158</v>
      </c>
      <c r="Q23">
        <v>0</v>
      </c>
      <c r="R23">
        <v>1</v>
      </c>
    </row>
    <row r="24" spans="8:18" ht="14.45" customHeight="1" x14ac:dyDescent="0.25">
      <c r="H24" s="240"/>
      <c r="Q24">
        <v>0</v>
      </c>
      <c r="R24">
        <v>2</v>
      </c>
    </row>
    <row r="25" spans="8:18" x14ac:dyDescent="0.25">
      <c r="H25" s="240"/>
      <c r="Q25">
        <v>0</v>
      </c>
      <c r="R25">
        <v>3</v>
      </c>
    </row>
    <row r="26" spans="8:18" ht="15.75" thickBot="1" x14ac:dyDescent="0.3">
      <c r="H26" s="34" t="s">
        <v>27</v>
      </c>
      <c r="Q26">
        <v>0</v>
      </c>
      <c r="R26">
        <v>1</v>
      </c>
    </row>
    <row r="27" spans="8:18" x14ac:dyDescent="0.25">
      <c r="H27" s="230" t="s">
        <v>28</v>
      </c>
      <c r="Q27">
        <v>0</v>
      </c>
      <c r="R27">
        <v>2</v>
      </c>
    </row>
    <row r="28" spans="8:18" x14ac:dyDescent="0.25">
      <c r="H28" s="228"/>
      <c r="Q28">
        <v>0</v>
      </c>
      <c r="R28">
        <v>3</v>
      </c>
    </row>
    <row r="29" spans="8:18" ht="14.45" customHeight="1" x14ac:dyDescent="0.25">
      <c r="H29" s="228"/>
      <c r="Q29">
        <v>0</v>
      </c>
      <c r="R29">
        <v>1</v>
      </c>
    </row>
    <row r="30" spans="8:18" x14ac:dyDescent="0.25">
      <c r="H30" s="228"/>
      <c r="Q30">
        <v>0</v>
      </c>
      <c r="R30">
        <v>2</v>
      </c>
    </row>
    <row r="31" spans="8:18" ht="14.45" customHeight="1" x14ac:dyDescent="0.25">
      <c r="H31" s="231" t="s">
        <v>29</v>
      </c>
      <c r="Q31">
        <v>0</v>
      </c>
      <c r="R31">
        <v>3</v>
      </c>
    </row>
    <row r="32" spans="8:18" x14ac:dyDescent="0.25">
      <c r="H32" s="231"/>
    </row>
    <row r="33" spans="8:8" ht="14.45" customHeight="1" x14ac:dyDescent="0.25">
      <c r="H33" s="231"/>
    </row>
    <row r="34" spans="8:8" ht="15" customHeight="1" x14ac:dyDescent="0.25">
      <c r="H34" s="231"/>
    </row>
    <row r="35" spans="8:8" x14ac:dyDescent="0.25">
      <c r="H35" s="231"/>
    </row>
    <row r="36" spans="8:8" x14ac:dyDescent="0.25">
      <c r="H36" s="228" t="s">
        <v>30</v>
      </c>
    </row>
    <row r="37" spans="8:8" ht="15.75" thickBot="1" x14ac:dyDescent="0.3">
      <c r="H37" s="229"/>
    </row>
  </sheetData>
  <sheetProtection formatCells="0" formatColumns="0" formatRows="0" insertColumns="0" insertRows="0" deleteColumns="0" deleteRows="0" sort="0"/>
  <mergeCells count="15">
    <mergeCell ref="X1:Z1"/>
    <mergeCell ref="K3:L3"/>
    <mergeCell ref="H13:H15"/>
    <mergeCell ref="H23:H25"/>
    <mergeCell ref="H16:H20"/>
    <mergeCell ref="H21:H22"/>
    <mergeCell ref="H6:H8"/>
    <mergeCell ref="H11:H12"/>
    <mergeCell ref="K2:L2"/>
    <mergeCell ref="J5:L5"/>
    <mergeCell ref="H36:H37"/>
    <mergeCell ref="H27:H30"/>
    <mergeCell ref="H31:H35"/>
    <mergeCell ref="F6:F9"/>
    <mergeCell ref="H3:H5"/>
  </mergeCells>
  <phoneticPr fontId="8" type="noConversion"/>
  <conditionalFormatting sqref="F3">
    <cfRule type="cellIs" dxfId="4" priority="2" operator="equal">
      <formula>"Duplicate names!!!"</formula>
    </cfRule>
  </conditionalFormatting>
  <conditionalFormatting sqref="F6:F9">
    <cfRule type="cellIs" dxfId="3" priority="1" operator="equal">
      <formula>"Leading or trailing spaces detected - please change names in model"</formula>
    </cfRule>
  </conditionalFormatting>
  <dataValidations count="3">
    <dataValidation type="list" allowBlank="1" showInputMessage="1" showErrorMessage="1" sqref="K2" xr:uid="{087259D4-7957-4A71-8303-FEE282F9E8AB}">
      <formula1>_xlfn.ANCHORARRAY($O$2)</formula1>
    </dataValidation>
    <dataValidation type="list" allowBlank="1" showInputMessage="1" showErrorMessage="1" sqref="J7:L16" xr:uid="{A1B8F86D-25BC-4652-A66F-571905BF1179}">
      <formula1>_xlfn.ANCHORARRAY($P$2)</formula1>
    </dataValidation>
    <dataValidation type="list" allowBlank="1" showInputMessage="1" showErrorMessage="1" sqref="K3" xr:uid="{5F22D016-4889-4352-9E8A-209E36170E03}">
      <formula1>$N$2:$N$3</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F2DA0-A240-48CF-829C-A3179EC95307}">
  <dimension ref="A1:AW10"/>
  <sheetViews>
    <sheetView workbookViewId="0">
      <selection sqref="A1:AW10"/>
    </sheetView>
  </sheetViews>
  <sheetFormatPr defaultRowHeight="15" x14ac:dyDescent="0.25"/>
  <cols>
    <col min="1" max="1" width="8.85546875" style="40"/>
  </cols>
  <sheetData>
    <row r="1" spans="1:49" x14ac:dyDescent="0.25">
      <c r="A1" s="39" t="s">
        <v>1</v>
      </c>
      <c r="B1" t="s">
        <v>167</v>
      </c>
      <c r="C1" t="s">
        <v>168</v>
      </c>
      <c r="D1" t="s">
        <v>169</v>
      </c>
      <c r="E1" t="s">
        <v>170</v>
      </c>
      <c r="F1" t="s">
        <v>171</v>
      </c>
      <c r="G1" t="s">
        <v>172</v>
      </c>
      <c r="H1" t="s">
        <v>41</v>
      </c>
      <c r="I1" t="s">
        <v>173</v>
      </c>
      <c r="J1" t="s">
        <v>174</v>
      </c>
      <c r="K1" t="s">
        <v>175</v>
      </c>
      <c r="L1" t="s">
        <v>176</v>
      </c>
      <c r="M1" t="s">
        <v>177</v>
      </c>
      <c r="N1" t="s">
        <v>178</v>
      </c>
      <c r="O1" t="s">
        <v>179</v>
      </c>
      <c r="P1" t="s">
        <v>180</v>
      </c>
      <c r="Q1" t="s">
        <v>181</v>
      </c>
      <c r="R1" t="s">
        <v>182</v>
      </c>
      <c r="S1" t="s">
        <v>183</v>
      </c>
      <c r="T1" t="s">
        <v>184</v>
      </c>
      <c r="U1" t="s">
        <v>185</v>
      </c>
      <c r="V1" t="s">
        <v>186</v>
      </c>
      <c r="W1" t="s">
        <v>187</v>
      </c>
      <c r="X1" t="s">
        <v>188</v>
      </c>
      <c r="Y1" t="s">
        <v>189</v>
      </c>
      <c r="Z1" t="s">
        <v>190</v>
      </c>
      <c r="AA1" t="s">
        <v>191</v>
      </c>
      <c r="AB1" t="s">
        <v>192</v>
      </c>
      <c r="AC1" t="s">
        <v>193</v>
      </c>
      <c r="AD1" t="s">
        <v>194</v>
      </c>
      <c r="AE1" t="s">
        <v>195</v>
      </c>
      <c r="AF1" t="s">
        <v>196</v>
      </c>
      <c r="AG1" t="s">
        <v>197</v>
      </c>
      <c r="AH1" t="s">
        <v>198</v>
      </c>
      <c r="AI1" t="s">
        <v>199</v>
      </c>
      <c r="AJ1" t="s">
        <v>200</v>
      </c>
      <c r="AK1" t="s">
        <v>201</v>
      </c>
      <c r="AL1" t="s">
        <v>202</v>
      </c>
      <c r="AM1" t="s">
        <v>203</v>
      </c>
      <c r="AN1" t="s">
        <v>204</v>
      </c>
      <c r="AO1" t="s">
        <v>205</v>
      </c>
      <c r="AP1" t="s">
        <v>206</v>
      </c>
      <c r="AQ1" t="s">
        <v>207</v>
      </c>
      <c r="AR1" t="s">
        <v>208</v>
      </c>
      <c r="AS1" t="s">
        <v>209</v>
      </c>
      <c r="AT1" t="s">
        <v>210</v>
      </c>
      <c r="AU1" t="s">
        <v>211</v>
      </c>
      <c r="AV1" t="s">
        <v>212</v>
      </c>
      <c r="AW1" t="s">
        <v>213</v>
      </c>
    </row>
    <row r="2" spans="1:49" x14ac:dyDescent="0.25">
      <c r="A2" s="40" t="s">
        <v>214</v>
      </c>
      <c r="B2">
        <v>4</v>
      </c>
      <c r="C2" t="s">
        <v>215</v>
      </c>
      <c r="D2" t="s">
        <v>216</v>
      </c>
      <c r="E2" t="s">
        <v>217</v>
      </c>
      <c r="F2">
        <v>0</v>
      </c>
      <c r="G2" t="s">
        <v>218</v>
      </c>
      <c r="H2" t="s">
        <v>38</v>
      </c>
      <c r="I2" t="s">
        <v>219</v>
      </c>
      <c r="J2" t="s">
        <v>220</v>
      </c>
      <c r="K2">
        <v>0</v>
      </c>
      <c r="L2">
        <v>3.1</v>
      </c>
      <c r="M2">
        <v>115.32</v>
      </c>
      <c r="N2">
        <v>37.200000000000003</v>
      </c>
      <c r="O2">
        <v>24.4</v>
      </c>
      <c r="P2" t="s">
        <v>221</v>
      </c>
      <c r="Q2" t="s">
        <v>222</v>
      </c>
      <c r="R2">
        <v>19.22</v>
      </c>
      <c r="S2">
        <v>11.609</v>
      </c>
      <c r="T2" t="s">
        <v>223</v>
      </c>
      <c r="U2">
        <v>8.6910000000000007</v>
      </c>
      <c r="V2">
        <v>0</v>
      </c>
      <c r="W2">
        <v>0</v>
      </c>
      <c r="X2">
        <v>2.9180000000000001</v>
      </c>
      <c r="Y2">
        <v>0.52100000000000002</v>
      </c>
      <c r="Z2">
        <v>1.4</v>
      </c>
      <c r="AA2">
        <v>0.52100000000000002</v>
      </c>
      <c r="AB2">
        <v>1.4</v>
      </c>
      <c r="AC2" t="s">
        <v>224</v>
      </c>
      <c r="AD2" t="s">
        <v>225</v>
      </c>
      <c r="AE2" t="s">
        <v>226</v>
      </c>
      <c r="AF2" t="s">
        <v>227</v>
      </c>
      <c r="AG2" t="s">
        <v>228</v>
      </c>
      <c r="AH2" t="s">
        <v>229</v>
      </c>
      <c r="AI2" t="s">
        <v>230</v>
      </c>
      <c r="AJ2" t="s">
        <v>231</v>
      </c>
      <c r="AK2" t="s">
        <v>232</v>
      </c>
      <c r="AL2">
        <v>1</v>
      </c>
      <c r="AM2">
        <v>0</v>
      </c>
      <c r="AN2">
        <v>6</v>
      </c>
      <c r="AO2">
        <v>0</v>
      </c>
      <c r="AP2">
        <v>4</v>
      </c>
      <c r="AQ2">
        <v>10</v>
      </c>
      <c r="AR2">
        <v>6</v>
      </c>
      <c r="AS2">
        <v>0</v>
      </c>
      <c r="AT2">
        <v>4</v>
      </c>
      <c r="AU2">
        <v>10</v>
      </c>
      <c r="AV2" t="s">
        <v>233</v>
      </c>
      <c r="AW2" t="s">
        <v>234</v>
      </c>
    </row>
    <row r="3" spans="1:49" x14ac:dyDescent="0.25">
      <c r="A3" s="40" t="s">
        <v>235</v>
      </c>
      <c r="B3">
        <v>5</v>
      </c>
      <c r="C3" t="s">
        <v>236</v>
      </c>
      <c r="D3" t="s">
        <v>216</v>
      </c>
      <c r="E3" t="s">
        <v>217</v>
      </c>
      <c r="F3">
        <v>0</v>
      </c>
      <c r="G3" t="s">
        <v>218</v>
      </c>
      <c r="H3" t="s">
        <v>38</v>
      </c>
      <c r="I3" t="s">
        <v>219</v>
      </c>
      <c r="J3" t="s">
        <v>220</v>
      </c>
      <c r="K3">
        <v>0</v>
      </c>
      <c r="L3">
        <v>3.1</v>
      </c>
      <c r="M3">
        <v>111.6</v>
      </c>
      <c r="N3">
        <v>36</v>
      </c>
      <c r="O3">
        <v>24</v>
      </c>
      <c r="P3" t="s">
        <v>221</v>
      </c>
      <c r="Q3" t="s">
        <v>222</v>
      </c>
      <c r="R3">
        <v>18.600000000000001</v>
      </c>
      <c r="S3">
        <v>11.609</v>
      </c>
      <c r="T3" t="s">
        <v>223</v>
      </c>
      <c r="U3">
        <v>8.6910000000000007</v>
      </c>
      <c r="V3">
        <v>0</v>
      </c>
      <c r="W3">
        <v>0</v>
      </c>
      <c r="X3">
        <v>2.9180000000000001</v>
      </c>
      <c r="Y3">
        <v>0.52100000000000002</v>
      </c>
      <c r="Z3">
        <v>1.446</v>
      </c>
      <c r="AA3">
        <v>0.52100000000000002</v>
      </c>
      <c r="AB3">
        <v>1.446</v>
      </c>
      <c r="AC3" t="s">
        <v>224</v>
      </c>
      <c r="AD3" t="s">
        <v>225</v>
      </c>
      <c r="AE3" t="s">
        <v>226</v>
      </c>
      <c r="AF3" t="s">
        <v>227</v>
      </c>
      <c r="AG3" t="s">
        <v>228</v>
      </c>
      <c r="AH3" t="s">
        <v>229</v>
      </c>
      <c r="AI3" t="s">
        <v>230</v>
      </c>
      <c r="AJ3" t="s">
        <v>231</v>
      </c>
      <c r="AK3" t="s">
        <v>232</v>
      </c>
      <c r="AL3">
        <v>1</v>
      </c>
      <c r="AM3">
        <v>0</v>
      </c>
      <c r="AN3">
        <v>6</v>
      </c>
      <c r="AO3">
        <v>0</v>
      </c>
      <c r="AP3">
        <v>4</v>
      </c>
      <c r="AQ3">
        <v>10</v>
      </c>
      <c r="AR3">
        <v>6</v>
      </c>
      <c r="AS3">
        <v>0</v>
      </c>
      <c r="AT3">
        <v>4</v>
      </c>
      <c r="AU3">
        <v>10</v>
      </c>
      <c r="AV3" t="s">
        <v>233</v>
      </c>
      <c r="AW3" t="s">
        <v>234</v>
      </c>
    </row>
    <row r="4" spans="1:49" x14ac:dyDescent="0.25">
      <c r="A4" s="40" t="s">
        <v>237</v>
      </c>
      <c r="B4">
        <v>6</v>
      </c>
      <c r="C4" t="s">
        <v>238</v>
      </c>
      <c r="D4" t="s">
        <v>216</v>
      </c>
      <c r="E4" t="s">
        <v>217</v>
      </c>
      <c r="F4">
        <v>0</v>
      </c>
      <c r="G4" t="s">
        <v>218</v>
      </c>
      <c r="H4" t="s">
        <v>38</v>
      </c>
      <c r="I4" t="s">
        <v>219</v>
      </c>
      <c r="J4" t="s">
        <v>220</v>
      </c>
      <c r="K4">
        <v>0</v>
      </c>
      <c r="L4">
        <v>3.1</v>
      </c>
      <c r="M4">
        <v>107.88</v>
      </c>
      <c r="N4">
        <v>34.799999999999997</v>
      </c>
      <c r="O4">
        <v>23.6</v>
      </c>
      <c r="P4" t="s">
        <v>221</v>
      </c>
      <c r="Q4" t="s">
        <v>222</v>
      </c>
      <c r="R4">
        <v>17.98</v>
      </c>
      <c r="S4">
        <v>11.609</v>
      </c>
      <c r="T4" t="s">
        <v>223</v>
      </c>
      <c r="U4">
        <v>8.6910000000000007</v>
      </c>
      <c r="V4">
        <v>0</v>
      </c>
      <c r="W4">
        <v>0</v>
      </c>
      <c r="X4">
        <v>2.9180000000000001</v>
      </c>
      <c r="Y4">
        <v>0.52100000000000002</v>
      </c>
      <c r="Z4">
        <v>1.496</v>
      </c>
      <c r="AA4">
        <v>0.52100000000000002</v>
      </c>
      <c r="AB4">
        <v>1.496</v>
      </c>
      <c r="AC4" t="s">
        <v>224</v>
      </c>
      <c r="AD4" t="s">
        <v>225</v>
      </c>
      <c r="AE4" t="s">
        <v>226</v>
      </c>
      <c r="AF4" t="s">
        <v>227</v>
      </c>
      <c r="AG4" t="s">
        <v>228</v>
      </c>
      <c r="AH4" t="s">
        <v>229</v>
      </c>
      <c r="AI4" t="s">
        <v>230</v>
      </c>
      <c r="AJ4" t="s">
        <v>231</v>
      </c>
      <c r="AK4" t="s">
        <v>232</v>
      </c>
      <c r="AL4">
        <v>1</v>
      </c>
      <c r="AM4">
        <v>0</v>
      </c>
      <c r="AN4">
        <v>6</v>
      </c>
      <c r="AO4">
        <v>0</v>
      </c>
      <c r="AP4">
        <v>4</v>
      </c>
      <c r="AQ4">
        <v>10</v>
      </c>
      <c r="AR4">
        <v>6</v>
      </c>
      <c r="AS4">
        <v>0</v>
      </c>
      <c r="AT4">
        <v>4</v>
      </c>
      <c r="AU4">
        <v>10</v>
      </c>
      <c r="AV4" t="s">
        <v>233</v>
      </c>
      <c r="AW4" t="s">
        <v>234</v>
      </c>
    </row>
    <row r="5" spans="1:49" x14ac:dyDescent="0.25">
      <c r="A5" s="40" t="s">
        <v>239</v>
      </c>
      <c r="B5">
        <v>14</v>
      </c>
      <c r="C5" t="s">
        <v>240</v>
      </c>
      <c r="D5" t="s">
        <v>216</v>
      </c>
      <c r="E5" t="s">
        <v>217</v>
      </c>
      <c r="F5">
        <v>2</v>
      </c>
      <c r="G5" t="s">
        <v>218</v>
      </c>
      <c r="H5" t="s">
        <v>38</v>
      </c>
      <c r="I5" t="s">
        <v>219</v>
      </c>
      <c r="J5" t="s">
        <v>220</v>
      </c>
      <c r="K5">
        <v>3.1</v>
      </c>
      <c r="L5">
        <v>6.0250000000000004</v>
      </c>
      <c r="M5">
        <v>108.81</v>
      </c>
      <c r="N5">
        <v>37.200000000000003</v>
      </c>
      <c r="O5">
        <v>24.4</v>
      </c>
      <c r="P5" t="s">
        <v>221</v>
      </c>
      <c r="Q5" t="s">
        <v>222</v>
      </c>
      <c r="R5">
        <v>18.135000000000002</v>
      </c>
      <c r="S5">
        <v>9.2690000000000001</v>
      </c>
      <c r="T5" t="s">
        <v>223</v>
      </c>
      <c r="U5">
        <v>6.351</v>
      </c>
      <c r="V5">
        <v>0</v>
      </c>
      <c r="W5">
        <v>0</v>
      </c>
      <c r="X5">
        <v>2.9180000000000001</v>
      </c>
      <c r="Y5">
        <v>0.52100000000000002</v>
      </c>
      <c r="Z5">
        <v>1.4</v>
      </c>
      <c r="AA5">
        <v>0.52100000000000002</v>
      </c>
      <c r="AB5">
        <v>1.4</v>
      </c>
      <c r="AC5" t="s">
        <v>224</v>
      </c>
      <c r="AD5" t="s">
        <v>225</v>
      </c>
      <c r="AE5" t="s">
        <v>226</v>
      </c>
      <c r="AF5" t="s">
        <v>227</v>
      </c>
      <c r="AG5" t="s">
        <v>241</v>
      </c>
      <c r="AH5" t="s">
        <v>229</v>
      </c>
      <c r="AI5" t="s">
        <v>230</v>
      </c>
      <c r="AJ5" t="s">
        <v>231</v>
      </c>
      <c r="AK5" t="s">
        <v>232</v>
      </c>
      <c r="AL5">
        <v>1</v>
      </c>
      <c r="AM5">
        <v>0</v>
      </c>
      <c r="AN5">
        <v>6</v>
      </c>
      <c r="AO5">
        <v>0</v>
      </c>
      <c r="AP5">
        <v>3</v>
      </c>
      <c r="AQ5">
        <v>9</v>
      </c>
      <c r="AR5">
        <v>6</v>
      </c>
      <c r="AS5">
        <v>0</v>
      </c>
      <c r="AT5">
        <v>3</v>
      </c>
      <c r="AU5">
        <v>9</v>
      </c>
      <c r="AV5" t="s">
        <v>233</v>
      </c>
      <c r="AW5" t="s">
        <v>234</v>
      </c>
    </row>
    <row r="6" spans="1:49" x14ac:dyDescent="0.25">
      <c r="A6" s="40" t="s">
        <v>242</v>
      </c>
      <c r="B6">
        <v>15</v>
      </c>
      <c r="C6" t="s">
        <v>243</v>
      </c>
      <c r="D6" t="s">
        <v>216</v>
      </c>
      <c r="E6" t="s">
        <v>217</v>
      </c>
      <c r="F6">
        <v>2</v>
      </c>
      <c r="G6" t="s">
        <v>218</v>
      </c>
      <c r="H6" t="s">
        <v>38</v>
      </c>
      <c r="I6" t="s">
        <v>219</v>
      </c>
      <c r="J6" t="s">
        <v>220</v>
      </c>
      <c r="K6">
        <v>3.1</v>
      </c>
      <c r="L6">
        <v>6.0250000000000004</v>
      </c>
      <c r="M6">
        <v>105.3</v>
      </c>
      <c r="N6">
        <v>36</v>
      </c>
      <c r="O6">
        <v>24</v>
      </c>
      <c r="P6" t="s">
        <v>221</v>
      </c>
      <c r="Q6" t="s">
        <v>222</v>
      </c>
      <c r="R6">
        <v>17.55</v>
      </c>
      <c r="S6">
        <v>9.2690000000000001</v>
      </c>
      <c r="T6" t="s">
        <v>223</v>
      </c>
      <c r="U6">
        <v>6.351</v>
      </c>
      <c r="V6">
        <v>0</v>
      </c>
      <c r="W6">
        <v>0</v>
      </c>
      <c r="X6">
        <v>2.9180000000000001</v>
      </c>
      <c r="Y6">
        <v>0.52100000000000002</v>
      </c>
      <c r="Z6">
        <v>1.446</v>
      </c>
      <c r="AA6">
        <v>0.52100000000000002</v>
      </c>
      <c r="AB6">
        <v>1.446</v>
      </c>
      <c r="AC6" t="s">
        <v>224</v>
      </c>
      <c r="AD6" t="s">
        <v>225</v>
      </c>
      <c r="AE6" t="s">
        <v>226</v>
      </c>
      <c r="AF6" t="s">
        <v>227</v>
      </c>
      <c r="AG6" t="s">
        <v>241</v>
      </c>
      <c r="AH6" t="s">
        <v>229</v>
      </c>
      <c r="AI6" t="s">
        <v>230</v>
      </c>
      <c r="AJ6" t="s">
        <v>231</v>
      </c>
      <c r="AK6" t="s">
        <v>232</v>
      </c>
      <c r="AL6">
        <v>1</v>
      </c>
      <c r="AM6">
        <v>0</v>
      </c>
      <c r="AN6">
        <v>6</v>
      </c>
      <c r="AO6">
        <v>0</v>
      </c>
      <c r="AP6">
        <v>3</v>
      </c>
      <c r="AQ6">
        <v>9</v>
      </c>
      <c r="AR6">
        <v>6</v>
      </c>
      <c r="AS6">
        <v>0</v>
      </c>
      <c r="AT6">
        <v>3</v>
      </c>
      <c r="AU6">
        <v>9</v>
      </c>
      <c r="AV6" t="s">
        <v>233</v>
      </c>
      <c r="AW6" t="s">
        <v>234</v>
      </c>
    </row>
    <row r="7" spans="1:49" x14ac:dyDescent="0.25">
      <c r="A7" s="40" t="s">
        <v>244</v>
      </c>
      <c r="B7">
        <v>16</v>
      </c>
      <c r="C7" t="s">
        <v>245</v>
      </c>
      <c r="D7" t="s">
        <v>216</v>
      </c>
      <c r="E7" t="s">
        <v>217</v>
      </c>
      <c r="F7">
        <v>2</v>
      </c>
      <c r="G7" t="s">
        <v>218</v>
      </c>
      <c r="H7" t="s">
        <v>38</v>
      </c>
      <c r="I7" t="s">
        <v>219</v>
      </c>
      <c r="J7" t="s">
        <v>220</v>
      </c>
      <c r="K7">
        <v>3.1</v>
      </c>
      <c r="L7">
        <v>6.0250000000000004</v>
      </c>
      <c r="M7">
        <v>101.79</v>
      </c>
      <c r="N7">
        <v>34.799999999999997</v>
      </c>
      <c r="O7">
        <v>23.6</v>
      </c>
      <c r="P7" t="s">
        <v>221</v>
      </c>
      <c r="Q7" t="s">
        <v>222</v>
      </c>
      <c r="R7">
        <v>16.965</v>
      </c>
      <c r="S7">
        <v>9.2690000000000001</v>
      </c>
      <c r="T7" t="s">
        <v>223</v>
      </c>
      <c r="U7">
        <v>6.351</v>
      </c>
      <c r="V7">
        <v>0</v>
      </c>
      <c r="W7">
        <v>0</v>
      </c>
      <c r="X7">
        <v>2.9180000000000001</v>
      </c>
      <c r="Y7">
        <v>0.52100000000000002</v>
      </c>
      <c r="Z7">
        <v>1.496</v>
      </c>
      <c r="AA7">
        <v>0.52100000000000002</v>
      </c>
      <c r="AB7">
        <v>1.496</v>
      </c>
      <c r="AC7" t="s">
        <v>224</v>
      </c>
      <c r="AD7" t="s">
        <v>225</v>
      </c>
      <c r="AE7" t="s">
        <v>226</v>
      </c>
      <c r="AF7" t="s">
        <v>227</v>
      </c>
      <c r="AG7" t="s">
        <v>241</v>
      </c>
      <c r="AH7" t="s">
        <v>229</v>
      </c>
      <c r="AI7" t="s">
        <v>230</v>
      </c>
      <c r="AJ7" t="s">
        <v>231</v>
      </c>
      <c r="AK7" t="s">
        <v>232</v>
      </c>
      <c r="AL7">
        <v>1</v>
      </c>
      <c r="AM7">
        <v>0</v>
      </c>
      <c r="AN7">
        <v>6</v>
      </c>
      <c r="AO7">
        <v>0</v>
      </c>
      <c r="AP7">
        <v>3</v>
      </c>
      <c r="AQ7">
        <v>9</v>
      </c>
      <c r="AR7">
        <v>6</v>
      </c>
      <c r="AS7">
        <v>0</v>
      </c>
      <c r="AT7">
        <v>3</v>
      </c>
      <c r="AU7">
        <v>9</v>
      </c>
      <c r="AV7" t="s">
        <v>233</v>
      </c>
      <c r="AW7" t="s">
        <v>234</v>
      </c>
    </row>
    <row r="8" spans="1:49" x14ac:dyDescent="0.25">
      <c r="A8" s="40" t="s">
        <v>246</v>
      </c>
      <c r="B8">
        <v>40</v>
      </c>
      <c r="C8" t="s">
        <v>247</v>
      </c>
      <c r="D8" t="s">
        <v>216</v>
      </c>
      <c r="E8" t="s">
        <v>217</v>
      </c>
      <c r="F8">
        <v>0</v>
      </c>
      <c r="G8" t="s">
        <v>218</v>
      </c>
      <c r="H8" t="s">
        <v>38</v>
      </c>
      <c r="I8" t="s">
        <v>219</v>
      </c>
      <c r="J8" t="s">
        <v>220</v>
      </c>
      <c r="K8">
        <v>0</v>
      </c>
      <c r="L8">
        <v>3.1</v>
      </c>
      <c r="M8">
        <v>91.14</v>
      </c>
      <c r="N8">
        <v>29.4</v>
      </c>
      <c r="O8">
        <v>21.8</v>
      </c>
      <c r="P8" t="s">
        <v>221</v>
      </c>
      <c r="Q8" t="s">
        <v>222</v>
      </c>
      <c r="R8">
        <v>15.19</v>
      </c>
      <c r="S8">
        <v>10.016</v>
      </c>
      <c r="T8" t="s">
        <v>223</v>
      </c>
      <c r="U8">
        <v>8.5559999999999992</v>
      </c>
      <c r="V8">
        <v>0</v>
      </c>
      <c r="W8">
        <v>0</v>
      </c>
      <c r="X8">
        <v>1.4590000000000001</v>
      </c>
      <c r="Y8">
        <v>0.26</v>
      </c>
      <c r="Z8">
        <v>0.88600000000000001</v>
      </c>
      <c r="AA8">
        <v>0.26</v>
      </c>
      <c r="AB8">
        <v>0.88600000000000001</v>
      </c>
      <c r="AC8" t="s">
        <v>224</v>
      </c>
      <c r="AD8" t="s">
        <v>225</v>
      </c>
      <c r="AE8" t="s">
        <v>226</v>
      </c>
      <c r="AF8" t="s">
        <v>227</v>
      </c>
      <c r="AG8" t="s">
        <v>228</v>
      </c>
      <c r="AH8" t="s">
        <v>229</v>
      </c>
      <c r="AI8" t="s">
        <v>230</v>
      </c>
      <c r="AJ8" t="s">
        <v>231</v>
      </c>
      <c r="AK8" t="s">
        <v>232</v>
      </c>
      <c r="AL8">
        <v>1</v>
      </c>
      <c r="AM8">
        <v>0</v>
      </c>
      <c r="AN8">
        <v>3</v>
      </c>
      <c r="AO8">
        <v>0</v>
      </c>
      <c r="AP8">
        <v>4</v>
      </c>
      <c r="AQ8">
        <v>7</v>
      </c>
      <c r="AR8">
        <v>3</v>
      </c>
      <c r="AS8">
        <v>0</v>
      </c>
      <c r="AT8">
        <v>4</v>
      </c>
      <c r="AU8">
        <v>7</v>
      </c>
      <c r="AV8" t="s">
        <v>233</v>
      </c>
      <c r="AW8" t="s">
        <v>234</v>
      </c>
    </row>
    <row r="9" spans="1:49" x14ac:dyDescent="0.25">
      <c r="A9" s="40" t="s">
        <v>248</v>
      </c>
      <c r="B9">
        <v>43</v>
      </c>
      <c r="C9" t="s">
        <v>249</v>
      </c>
      <c r="D9" t="s">
        <v>216</v>
      </c>
      <c r="E9" t="s">
        <v>217</v>
      </c>
      <c r="F9">
        <v>2</v>
      </c>
      <c r="G9" t="s">
        <v>218</v>
      </c>
      <c r="H9" t="s">
        <v>38</v>
      </c>
      <c r="I9" t="s">
        <v>219</v>
      </c>
      <c r="J9" t="s">
        <v>220</v>
      </c>
      <c r="K9">
        <v>3.1</v>
      </c>
      <c r="L9">
        <v>6.0250000000000004</v>
      </c>
      <c r="M9">
        <v>85.995000000000005</v>
      </c>
      <c r="N9">
        <v>29.4</v>
      </c>
      <c r="O9">
        <v>21.8</v>
      </c>
      <c r="P9" t="s">
        <v>221</v>
      </c>
      <c r="Q9" t="s">
        <v>222</v>
      </c>
      <c r="R9">
        <v>14.332000000000001</v>
      </c>
      <c r="S9">
        <v>7.7060000000000004</v>
      </c>
      <c r="T9" t="s">
        <v>223</v>
      </c>
      <c r="U9">
        <v>6.2469999999999999</v>
      </c>
      <c r="V9">
        <v>0</v>
      </c>
      <c r="W9">
        <v>0</v>
      </c>
      <c r="X9">
        <v>1.4590000000000001</v>
      </c>
      <c r="Y9">
        <v>0.26</v>
      </c>
      <c r="Z9">
        <v>0.88600000000000001</v>
      </c>
      <c r="AA9">
        <v>0.26</v>
      </c>
      <c r="AB9">
        <v>0.88600000000000001</v>
      </c>
      <c r="AC9" t="s">
        <v>224</v>
      </c>
      <c r="AD9" t="s">
        <v>225</v>
      </c>
      <c r="AE9" t="s">
        <v>226</v>
      </c>
      <c r="AF9" t="s">
        <v>227</v>
      </c>
      <c r="AG9" t="s">
        <v>241</v>
      </c>
      <c r="AH9" t="s">
        <v>229</v>
      </c>
      <c r="AI9" t="s">
        <v>230</v>
      </c>
      <c r="AJ9" t="s">
        <v>231</v>
      </c>
      <c r="AK9" t="s">
        <v>232</v>
      </c>
      <c r="AL9">
        <v>1</v>
      </c>
      <c r="AM9">
        <v>0</v>
      </c>
      <c r="AN9">
        <v>3</v>
      </c>
      <c r="AO9">
        <v>0</v>
      </c>
      <c r="AP9">
        <v>3</v>
      </c>
      <c r="AQ9">
        <v>6</v>
      </c>
      <c r="AR9">
        <v>3</v>
      </c>
      <c r="AS9">
        <v>0</v>
      </c>
      <c r="AT9">
        <v>3</v>
      </c>
      <c r="AU9">
        <v>6</v>
      </c>
      <c r="AV9" t="s">
        <v>233</v>
      </c>
      <c r="AW9" t="s">
        <v>234</v>
      </c>
    </row>
    <row r="10" spans="1:49" x14ac:dyDescent="0.25">
      <c r="A10" s="40" t="s">
        <v>250</v>
      </c>
      <c r="B10">
        <v>46</v>
      </c>
      <c r="C10" t="s">
        <v>251</v>
      </c>
      <c r="D10" t="s">
        <v>216</v>
      </c>
      <c r="E10" t="s">
        <v>217</v>
      </c>
      <c r="F10">
        <v>2</v>
      </c>
      <c r="G10" t="s">
        <v>218</v>
      </c>
      <c r="H10" t="s">
        <v>38</v>
      </c>
      <c r="I10" t="s">
        <v>219</v>
      </c>
      <c r="J10" t="s">
        <v>220</v>
      </c>
      <c r="K10">
        <v>3.1</v>
      </c>
      <c r="L10">
        <v>6.0250000000000004</v>
      </c>
      <c r="M10">
        <v>190.18299999999999</v>
      </c>
      <c r="N10">
        <v>65.02</v>
      </c>
      <c r="O10">
        <v>33.61</v>
      </c>
      <c r="P10" t="s">
        <v>221</v>
      </c>
      <c r="Q10" t="s">
        <v>222</v>
      </c>
      <c r="R10">
        <v>67.024000000000001</v>
      </c>
      <c r="S10">
        <v>9.2690000000000001</v>
      </c>
      <c r="T10" t="s">
        <v>223</v>
      </c>
      <c r="U10">
        <v>6.351</v>
      </c>
      <c r="V10">
        <v>0</v>
      </c>
      <c r="W10">
        <v>0</v>
      </c>
      <c r="X10">
        <v>2.9180000000000001</v>
      </c>
      <c r="Y10">
        <v>0.52100000000000002</v>
      </c>
      <c r="Z10">
        <v>0.80100000000000005</v>
      </c>
      <c r="AA10">
        <v>0.52100000000000002</v>
      </c>
      <c r="AB10">
        <v>0.80100000000000005</v>
      </c>
      <c r="AC10" t="s">
        <v>224</v>
      </c>
      <c r="AD10" t="s">
        <v>225</v>
      </c>
      <c r="AE10" t="s">
        <v>226</v>
      </c>
      <c r="AF10" t="s">
        <v>227</v>
      </c>
      <c r="AG10" t="s">
        <v>241</v>
      </c>
      <c r="AH10" t="s">
        <v>229</v>
      </c>
      <c r="AI10" t="s">
        <v>230</v>
      </c>
      <c r="AJ10" t="s">
        <v>231</v>
      </c>
      <c r="AK10" t="s">
        <v>232</v>
      </c>
      <c r="AL10">
        <v>1</v>
      </c>
      <c r="AM10">
        <v>0</v>
      </c>
      <c r="AN10">
        <v>6</v>
      </c>
      <c r="AO10">
        <v>0</v>
      </c>
      <c r="AP10">
        <v>3</v>
      </c>
      <c r="AQ10">
        <v>9</v>
      </c>
      <c r="AR10">
        <v>6</v>
      </c>
      <c r="AS10">
        <v>0</v>
      </c>
      <c r="AT10">
        <v>3</v>
      </c>
      <c r="AU10">
        <v>9</v>
      </c>
      <c r="AV10" t="s">
        <v>233</v>
      </c>
      <c r="AW10"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B557A-7958-4443-A437-19D216207433}">
  <dimension ref="B1:CU27"/>
  <sheetViews>
    <sheetView topLeftCell="CI1" workbookViewId="0">
      <selection activeCell="CT21" sqref="CT21"/>
    </sheetView>
  </sheetViews>
  <sheetFormatPr defaultRowHeight="15" x14ac:dyDescent="0.25"/>
  <cols>
    <col min="2" max="2" width="34.140625" style="26" customWidth="1"/>
    <col min="4" max="4" width="8.85546875" style="16"/>
    <col min="5" max="5" width="17.140625" bestFit="1" customWidth="1"/>
    <col min="6" max="7" width="25.5703125" bestFit="1" customWidth="1"/>
    <col min="8" max="8" width="17.85546875" bestFit="1" customWidth="1"/>
    <col min="9" max="9" width="11.140625" customWidth="1"/>
    <col min="10" max="10" width="18.42578125" bestFit="1" customWidth="1"/>
    <col min="11" max="11" width="12.5703125" customWidth="1"/>
    <col min="12" max="12" width="17.85546875" bestFit="1" customWidth="1"/>
    <col min="13" max="13" width="11" customWidth="1"/>
    <col min="14" max="14" width="30.5703125" bestFit="1" customWidth="1"/>
    <col min="15" max="15" width="34.42578125" bestFit="1" customWidth="1"/>
    <col min="17" max="17" width="8.85546875" style="12"/>
    <col min="18" max="18" width="47.42578125" style="13" bestFit="1" customWidth="1"/>
    <col min="19" max="19" width="8.85546875" style="16"/>
    <col min="20" max="20" width="9.140625" style="16"/>
    <col min="21" max="21" width="17.140625" bestFit="1" customWidth="1"/>
    <col min="22" max="23" width="25.5703125" bestFit="1" customWidth="1"/>
    <col min="24" max="24" width="17.85546875" bestFit="1" customWidth="1"/>
    <col min="25" max="25" width="11.140625" customWidth="1"/>
    <col min="26" max="26" width="18.42578125" bestFit="1" customWidth="1"/>
    <col min="27" max="27" width="12.5703125" customWidth="1"/>
    <col min="28" max="28" width="17.85546875" bestFit="1" customWidth="1"/>
    <col min="29" max="29" width="11" customWidth="1"/>
    <col min="30" max="30" width="30.5703125" bestFit="1" customWidth="1"/>
    <col min="31" max="31" width="34.42578125" bestFit="1" customWidth="1"/>
    <col min="33" max="33" width="9.140625" style="12"/>
    <col min="34" max="34" width="47.42578125" style="13" bestFit="1" customWidth="1"/>
    <col min="35" max="36" width="9.140625" style="16"/>
    <col min="37" max="37" width="17.140625" bestFit="1" customWidth="1"/>
    <col min="38" max="39" width="25.5703125" bestFit="1" customWidth="1"/>
    <col min="40" max="40" width="17.85546875" bestFit="1" customWidth="1"/>
    <col min="41" max="41" width="11.140625" customWidth="1"/>
    <col min="42" max="42" width="18.42578125" bestFit="1" customWidth="1"/>
    <col min="43" max="43" width="12.5703125" customWidth="1"/>
    <col min="44" max="44" width="17.85546875" bestFit="1" customWidth="1"/>
    <col min="45" max="45" width="11" customWidth="1"/>
    <col min="46" max="46" width="30.5703125" bestFit="1" customWidth="1"/>
    <col min="47" max="47" width="34.42578125" bestFit="1" customWidth="1"/>
    <col min="49" max="49" width="9.140625" style="12"/>
    <col min="50" max="50" width="47.42578125" style="13" bestFit="1" customWidth="1"/>
    <col min="51" max="52" width="9.140625" style="16"/>
    <col min="53" max="53" width="17.140625" bestFit="1" customWidth="1"/>
    <col min="54" max="55" width="25.5703125" bestFit="1" customWidth="1"/>
    <col min="56" max="56" width="17.85546875" bestFit="1" customWidth="1"/>
    <col min="57" max="57" width="11.140625" customWidth="1"/>
    <col min="58" max="58" width="18.42578125" bestFit="1" customWidth="1"/>
    <col min="59" max="59" width="12.5703125" customWidth="1"/>
    <col min="60" max="60" width="17.85546875" bestFit="1" customWidth="1"/>
    <col min="61" max="61" width="11" customWidth="1"/>
    <col min="62" max="62" width="30.5703125" bestFit="1" customWidth="1"/>
    <col min="63" max="63" width="34.42578125" bestFit="1" customWidth="1"/>
    <col min="65" max="65" width="9.140625" style="12"/>
    <col min="66" max="66" width="47.42578125" style="13" bestFit="1" customWidth="1"/>
    <col min="67" max="68" width="9.140625" style="16"/>
    <col min="69" max="69" width="17.140625" bestFit="1" customWidth="1"/>
    <col min="70" max="71" width="25.5703125" bestFit="1" customWidth="1"/>
    <col min="72" max="72" width="17.85546875" bestFit="1" customWidth="1"/>
    <col min="73" max="73" width="11.140625" customWidth="1"/>
    <col min="74" max="74" width="18.42578125" bestFit="1" customWidth="1"/>
    <col min="75" max="75" width="12.5703125" customWidth="1"/>
    <col min="76" max="76" width="17.85546875" bestFit="1" customWidth="1"/>
    <col min="77" max="77" width="11" customWidth="1"/>
    <col min="78" max="78" width="30.5703125" bestFit="1" customWidth="1"/>
    <col min="79" max="79" width="34.42578125" bestFit="1" customWidth="1"/>
    <col min="81" max="81" width="9.140625" style="12"/>
    <col min="82" max="82" width="47.42578125" style="13" bestFit="1" customWidth="1"/>
    <col min="83" max="84" width="9.140625" style="16"/>
    <col min="85" max="85" width="17.140625" bestFit="1" customWidth="1"/>
    <col min="86" max="87" width="25.5703125" bestFit="1" customWidth="1"/>
    <col min="88" max="88" width="17.85546875" bestFit="1" customWidth="1"/>
    <col min="89" max="89" width="11.140625" customWidth="1"/>
    <col min="90" max="90" width="18.42578125" bestFit="1" customWidth="1"/>
    <col min="91" max="91" width="12.5703125" customWidth="1"/>
    <col min="92" max="92" width="17.85546875" bestFit="1" customWidth="1"/>
    <col min="93" max="93" width="11" customWidth="1"/>
    <col min="94" max="94" width="30.5703125" bestFit="1" customWidth="1"/>
    <col min="95" max="95" width="34.42578125" bestFit="1" customWidth="1"/>
    <col min="97" max="97" width="9.140625" style="12"/>
    <col min="98" max="98" width="47.42578125" style="13" bestFit="1" customWidth="1"/>
    <col min="99" max="99" width="9.140625" style="16"/>
  </cols>
  <sheetData>
    <row r="1" spans="2:99" ht="15.75" thickBot="1" x14ac:dyDescent="0.3">
      <c r="F1" s="144" t="str">
        <f>F2</f>
        <v>DSY1 2020</v>
      </c>
      <c r="Q1" s="10"/>
      <c r="R1" s="11"/>
      <c r="V1" s="144" t="str">
        <f>V2</f>
        <v>DSY2 2020</v>
      </c>
      <c r="AG1" s="10"/>
      <c r="AH1" s="11"/>
      <c r="AL1" s="144" t="str">
        <f>AL2</f>
        <v>DSY3 2020</v>
      </c>
      <c r="AW1" s="10"/>
      <c r="AX1" s="11"/>
      <c r="BB1" s="144" t="str">
        <f>BB2</f>
        <v>DSY1 2050</v>
      </c>
      <c r="BM1" s="10"/>
      <c r="BN1" s="11"/>
      <c r="BR1" s="144" t="str">
        <f>BR2</f>
        <v>DSY2 2050</v>
      </c>
      <c r="CC1" s="10"/>
      <c r="CD1" s="11"/>
      <c r="CH1" s="144" t="str">
        <f>CH2</f>
        <v>DSY3 2050</v>
      </c>
      <c r="CS1" s="10"/>
      <c r="CT1" s="11"/>
    </row>
    <row r="2" spans="2:99" ht="20.25" thickBot="1" x14ac:dyDescent="0.35">
      <c r="B2" s="5" t="s">
        <v>15</v>
      </c>
      <c r="E2" t="s">
        <v>7</v>
      </c>
      <c r="F2" s="2" t="s">
        <v>329</v>
      </c>
      <c r="N2" t="s">
        <v>10</v>
      </c>
      <c r="O2" s="9">
        <f ca="1">ROUNDDOWN(COUNTIF(_xlfn.ANCHORARRAY(N7),"PASS")/COUNTA(_xlfn.ANCHORARRAY(N7)),2)</f>
        <v>1</v>
      </c>
      <c r="Q2" s="242" t="s">
        <v>161</v>
      </c>
      <c r="R2" s="243"/>
      <c r="U2" t="s">
        <v>7</v>
      </c>
      <c r="V2" s="2" t="s">
        <v>330</v>
      </c>
      <c r="AD2" t="s">
        <v>10</v>
      </c>
      <c r="AE2" s="9">
        <f ca="1">ROUNDDOWN(COUNTIF(_xlfn.ANCHORARRAY(AD7),"PASS")/COUNTA(_xlfn.ANCHORARRAY(AD7)),2)</f>
        <v>1</v>
      </c>
      <c r="AG2" s="242" t="s">
        <v>161</v>
      </c>
      <c r="AH2" s="243"/>
      <c r="AK2" t="s">
        <v>7</v>
      </c>
      <c r="AL2" s="2" t="s">
        <v>331</v>
      </c>
      <c r="AT2" t="s">
        <v>10</v>
      </c>
      <c r="AU2" s="9">
        <f ca="1">ROUNDDOWN(COUNTIF(_xlfn.ANCHORARRAY(AT7),"PASS")/COUNTA(_xlfn.ANCHORARRAY(AT7)),2)</f>
        <v>1</v>
      </c>
      <c r="AW2" s="242" t="s">
        <v>161</v>
      </c>
      <c r="AX2" s="243"/>
      <c r="BA2" t="s">
        <v>7</v>
      </c>
      <c r="BB2" s="2" t="s">
        <v>332</v>
      </c>
      <c r="BJ2" t="s">
        <v>10</v>
      </c>
      <c r="BK2" s="9">
        <f ca="1">ROUNDDOWN(COUNTIF(_xlfn.ANCHORARRAY(BJ7),"PASS")/COUNTA(_xlfn.ANCHORARRAY(BJ7)),2)</f>
        <v>1</v>
      </c>
      <c r="BM2" s="242" t="s">
        <v>161</v>
      </c>
      <c r="BN2" s="243"/>
      <c r="BQ2" t="s">
        <v>7</v>
      </c>
      <c r="BR2" s="2" t="s">
        <v>333</v>
      </c>
      <c r="BZ2" t="s">
        <v>10</v>
      </c>
      <c r="CA2" s="9">
        <f ca="1">ROUNDDOWN(COUNTIF(_xlfn.ANCHORARRAY(BZ7),"PASS")/COUNTA(_xlfn.ANCHORARRAY(BZ7)),2)</f>
        <v>1</v>
      </c>
      <c r="CC2" s="242" t="s">
        <v>161</v>
      </c>
      <c r="CD2" s="243"/>
      <c r="CG2" t="s">
        <v>7</v>
      </c>
      <c r="CH2" s="2" t="s">
        <v>165</v>
      </c>
      <c r="CP2" t="s">
        <v>10</v>
      </c>
      <c r="CQ2" s="9">
        <f ca="1">ROUNDDOWN(COUNTIF(_xlfn.ANCHORARRAY(CP7),"PASS")/COUNTA(_xlfn.ANCHORARRAY(CP7)),2)</f>
        <v>1</v>
      </c>
      <c r="CS2" s="242" t="s">
        <v>161</v>
      </c>
      <c r="CT2" s="243"/>
    </row>
    <row r="3" spans="2:99" x14ac:dyDescent="0.25">
      <c r="B3" s="244" t="s">
        <v>20</v>
      </c>
      <c r="N3" t="s">
        <v>125</v>
      </c>
      <c r="O3">
        <f ca="1">MAX(_xlfn.ANCHORARRAY(O7))</f>
        <v>31</v>
      </c>
      <c r="AD3" t="s">
        <v>125</v>
      </c>
      <c r="AE3">
        <f ca="1">MAX(_xlfn.ANCHORARRAY(AE7))</f>
        <v>32.299999999999997</v>
      </c>
      <c r="AT3" t="s">
        <v>125</v>
      </c>
      <c r="AU3">
        <f ca="1">MAX(_xlfn.ANCHORARRAY(AU7))</f>
        <v>31.6</v>
      </c>
      <c r="BJ3" t="s">
        <v>125</v>
      </c>
      <c r="BK3">
        <f ca="1">MAX(_xlfn.ANCHORARRAY(BK7))</f>
        <v>32.4</v>
      </c>
      <c r="BZ3" t="s">
        <v>125</v>
      </c>
      <c r="CA3">
        <f ca="1">MAX(_xlfn.ANCHORARRAY(CA7))</f>
        <v>33.299999999999997</v>
      </c>
      <c r="CP3" t="s">
        <v>125</v>
      </c>
      <c r="CQ3">
        <f ca="1">MAX(_xlfn.ANCHORARRAY(CQ7))</f>
        <v>32.700000000000003</v>
      </c>
    </row>
    <row r="4" spans="2:99" x14ac:dyDescent="0.25">
      <c r="B4" s="231"/>
      <c r="E4" s="1"/>
      <c r="N4" t="s">
        <v>134</v>
      </c>
      <c r="O4" cm="1">
        <f t="array" aca="1" ref="O4" ca="1">INDIRECT("'"&amp;F2&amp;"'!H2")</f>
        <v>34.6</v>
      </c>
      <c r="U4" s="1"/>
      <c r="AD4" t="s">
        <v>134</v>
      </c>
      <c r="AE4" cm="1">
        <f t="array" aca="1" ref="AE4" ca="1">INDIRECT("'"&amp;V2&amp;"'!H2")</f>
        <v>38.6</v>
      </c>
      <c r="AK4" s="1"/>
      <c r="AT4" t="s">
        <v>134</v>
      </c>
      <c r="AU4" cm="1">
        <f t="array" aca="1" ref="AU4" ca="1">INDIRECT("'"&amp;AL2&amp;"'!H2")</f>
        <v>35</v>
      </c>
      <c r="BA4" s="1"/>
      <c r="BJ4" t="s">
        <v>134</v>
      </c>
      <c r="BK4" cm="1">
        <f t="array" aca="1" ref="BK4" ca="1">INDIRECT("'"&amp;BB2&amp;"'!H2")</f>
        <v>36.4</v>
      </c>
      <c r="BQ4" s="1"/>
      <c r="BZ4" t="s">
        <v>134</v>
      </c>
      <c r="CA4" cm="1">
        <f t="array" aca="1" ref="CA4" ca="1">INDIRECT("'"&amp;BR2&amp;"'!H2")</f>
        <v>39.9</v>
      </c>
      <c r="CG4" s="1"/>
      <c r="CP4" t="s">
        <v>134</v>
      </c>
      <c r="CQ4" cm="1">
        <f t="array" aca="1" ref="CQ4" ca="1">INDIRECT("'"&amp;CH2&amp;"'!H2")</f>
        <v>36.299999999999997</v>
      </c>
    </row>
    <row r="5" spans="2:99" x14ac:dyDescent="0.25">
      <c r="B5" s="231"/>
      <c r="H5" s="1" t="s">
        <v>120</v>
      </c>
      <c r="I5" s="1"/>
      <c r="M5" s="1"/>
      <c r="X5" s="1" t="s">
        <v>120</v>
      </c>
      <c r="Y5" s="1"/>
      <c r="AC5" s="1"/>
      <c r="AN5" s="1" t="s">
        <v>120</v>
      </c>
      <c r="AO5" s="1"/>
      <c r="AS5" s="1"/>
      <c r="BD5" s="1" t="s">
        <v>120</v>
      </c>
      <c r="BE5" s="1"/>
      <c r="BI5" s="1"/>
      <c r="BT5" s="1" t="s">
        <v>120</v>
      </c>
      <c r="BU5" s="1"/>
      <c r="BY5" s="1"/>
      <c r="CJ5" s="1" t="s">
        <v>120</v>
      </c>
      <c r="CK5" s="1"/>
      <c r="CO5" s="1"/>
    </row>
    <row r="6" spans="2:99" ht="18" x14ac:dyDescent="0.35">
      <c r="B6" s="240" t="s">
        <v>21</v>
      </c>
      <c r="E6" s="1" t="s">
        <v>1</v>
      </c>
      <c r="F6" s="1" t="s">
        <v>3</v>
      </c>
      <c r="G6" s="1" t="s">
        <v>0</v>
      </c>
      <c r="H6" s="1" t="s">
        <v>123</v>
      </c>
      <c r="I6" s="1" t="s">
        <v>8</v>
      </c>
      <c r="J6" s="1" t="s">
        <v>122</v>
      </c>
      <c r="K6" s="1" t="s">
        <v>8</v>
      </c>
      <c r="L6" s="1" t="s">
        <v>121</v>
      </c>
      <c r="M6" s="1" t="s">
        <v>8</v>
      </c>
      <c r="N6" s="1" t="s">
        <v>124</v>
      </c>
      <c r="O6" s="1" t="s">
        <v>9</v>
      </c>
      <c r="Q6" s="14" t="s">
        <v>1</v>
      </c>
      <c r="R6" s="15" t="s">
        <v>162</v>
      </c>
      <c r="S6" s="16" t="str">
        <f>" "</f>
        <v xml:space="preserve"> </v>
      </c>
      <c r="U6" s="1" t="s">
        <v>1</v>
      </c>
      <c r="V6" s="1" t="s">
        <v>3</v>
      </c>
      <c r="W6" s="1" t="s">
        <v>0</v>
      </c>
      <c r="X6" s="1" t="s">
        <v>123</v>
      </c>
      <c r="Y6" s="1" t="s">
        <v>8</v>
      </c>
      <c r="Z6" s="1" t="s">
        <v>122</v>
      </c>
      <c r="AA6" s="1" t="s">
        <v>8</v>
      </c>
      <c r="AB6" s="1" t="s">
        <v>121</v>
      </c>
      <c r="AC6" s="1" t="s">
        <v>8</v>
      </c>
      <c r="AD6" s="1" t="s">
        <v>124</v>
      </c>
      <c r="AE6" s="1" t="s">
        <v>9</v>
      </c>
      <c r="AG6" s="14" t="s">
        <v>1</v>
      </c>
      <c r="AH6" s="15" t="s">
        <v>162</v>
      </c>
      <c r="AI6" s="16" t="str">
        <f>" "</f>
        <v xml:space="preserve"> </v>
      </c>
      <c r="AK6" s="1" t="s">
        <v>1</v>
      </c>
      <c r="AL6" s="1" t="s">
        <v>3</v>
      </c>
      <c r="AM6" s="1" t="s">
        <v>0</v>
      </c>
      <c r="AN6" s="1" t="s">
        <v>123</v>
      </c>
      <c r="AO6" s="1" t="s">
        <v>8</v>
      </c>
      <c r="AP6" s="1" t="s">
        <v>122</v>
      </c>
      <c r="AQ6" s="1" t="s">
        <v>8</v>
      </c>
      <c r="AR6" s="1" t="s">
        <v>121</v>
      </c>
      <c r="AS6" s="1" t="s">
        <v>8</v>
      </c>
      <c r="AT6" s="1" t="s">
        <v>124</v>
      </c>
      <c r="AU6" s="1" t="s">
        <v>9</v>
      </c>
      <c r="AW6" s="14" t="s">
        <v>1</v>
      </c>
      <c r="AX6" s="15" t="s">
        <v>162</v>
      </c>
      <c r="AY6" s="16" t="str">
        <f>" "</f>
        <v xml:space="preserve"> </v>
      </c>
      <c r="BA6" s="1" t="s">
        <v>1</v>
      </c>
      <c r="BB6" s="1" t="s">
        <v>3</v>
      </c>
      <c r="BC6" s="1" t="s">
        <v>0</v>
      </c>
      <c r="BD6" s="1" t="s">
        <v>123</v>
      </c>
      <c r="BE6" s="1" t="s">
        <v>8</v>
      </c>
      <c r="BF6" s="1" t="s">
        <v>122</v>
      </c>
      <c r="BG6" s="1" t="s">
        <v>8</v>
      </c>
      <c r="BH6" s="1" t="s">
        <v>121</v>
      </c>
      <c r="BI6" s="1" t="s">
        <v>8</v>
      </c>
      <c r="BJ6" s="1" t="s">
        <v>124</v>
      </c>
      <c r="BK6" s="1" t="s">
        <v>9</v>
      </c>
      <c r="BM6" s="14" t="s">
        <v>1</v>
      </c>
      <c r="BN6" s="15" t="s">
        <v>162</v>
      </c>
      <c r="BO6" s="16" t="str">
        <f>" "</f>
        <v xml:space="preserve"> </v>
      </c>
      <c r="BQ6" s="1" t="s">
        <v>1</v>
      </c>
      <c r="BR6" s="1" t="s">
        <v>3</v>
      </c>
      <c r="BS6" s="1" t="s">
        <v>0</v>
      </c>
      <c r="BT6" s="1" t="s">
        <v>123</v>
      </c>
      <c r="BU6" s="1" t="s">
        <v>8</v>
      </c>
      <c r="BV6" s="1" t="s">
        <v>122</v>
      </c>
      <c r="BW6" s="1" t="s">
        <v>8</v>
      </c>
      <c r="BX6" s="1" t="s">
        <v>121</v>
      </c>
      <c r="BY6" s="1" t="s">
        <v>8</v>
      </c>
      <c r="BZ6" s="1" t="s">
        <v>124</v>
      </c>
      <c r="CA6" s="1" t="s">
        <v>9</v>
      </c>
      <c r="CC6" s="14" t="s">
        <v>1</v>
      </c>
      <c r="CD6" s="15" t="s">
        <v>162</v>
      </c>
      <c r="CE6" s="16" t="str">
        <f>" "</f>
        <v xml:space="preserve"> </v>
      </c>
      <c r="CG6" s="1" t="s">
        <v>1</v>
      </c>
      <c r="CH6" s="1" t="s">
        <v>3</v>
      </c>
      <c r="CI6" s="1" t="s">
        <v>0</v>
      </c>
      <c r="CJ6" s="1" t="s">
        <v>123</v>
      </c>
      <c r="CK6" s="1" t="s">
        <v>8</v>
      </c>
      <c r="CL6" s="1" t="s">
        <v>122</v>
      </c>
      <c r="CM6" s="1" t="s">
        <v>8</v>
      </c>
      <c r="CN6" s="1" t="s">
        <v>121</v>
      </c>
      <c r="CO6" s="1" t="s">
        <v>8</v>
      </c>
      <c r="CP6" s="1" t="s">
        <v>124</v>
      </c>
      <c r="CQ6" s="1" t="s">
        <v>9</v>
      </c>
      <c r="CS6" s="14" t="s">
        <v>1</v>
      </c>
      <c r="CT6" s="15" t="s">
        <v>162</v>
      </c>
      <c r="CU6" s="16" t="str">
        <f>" "</f>
        <v xml:space="preserve"> </v>
      </c>
    </row>
    <row r="7" spans="2:99" x14ac:dyDescent="0.25">
      <c r="B7" s="240"/>
      <c r="E7" t="str" cm="1">
        <f t="array" aca="1" ref="E7:E15" ca="1">_xlfn.ANCHORARRAY('ID sheet'!$A$3)</f>
        <v>L000002F</v>
      </c>
      <c r="F7" t="str" cm="1">
        <f t="array" aca="1" ref="F7:F15" ca="1">_xlfn.ANCHORARRAY('ID sheet'!$C$3)</f>
        <v>FAB LABS</v>
      </c>
      <c r="G7" t="str" cm="1">
        <f t="array" aca="1" ref="G7:G15" ca="1">_xlfn.ANCHORARRAY('ID sheet'!$B$3)</f>
        <v>L00 FAB LAB 01</v>
      </c>
      <c r="H7" cm="1">
        <f t="array" aca="1" ref="H7:H15" ca="1">VLOOKUP(_xlfn.ANCHORARRAY(G7),INDIRECT("'"&amp;F2&amp;"'!B:G"),3,FALSE)</f>
        <v>0</v>
      </c>
      <c r="I7" t="str" cm="1">
        <f t="array" aca="1" ref="I7:I15" ca="1">IF(_xlfn.ANCHORARRAY(H7)&gt;=3,"FAIL","PASS")</f>
        <v>PASS</v>
      </c>
      <c r="J7" cm="1">
        <f t="array" aca="1" ref="J7:J15" ca="1">VLOOKUP(_xlfn.ANCHORARRAY(G7),INDIRECT("'"&amp;F2&amp;"'!B:G"),4,FALSE)</f>
        <v>0</v>
      </c>
      <c r="K7" t="str" cm="1">
        <f t="array" aca="1" ref="K7:K15" ca="1">IF(_xlfn.ANCHORARRAY(J7)&gt;6,"FAIL","PASS")</f>
        <v>PASS</v>
      </c>
      <c r="L7" cm="1">
        <f t="array" aca="1" ref="L7:L15" ca="1">VLOOKUP(_xlfn.ANCHORARRAY(G7),INDIRECT("'"&amp;F2&amp;"'!B:G"),5,FALSE)</f>
        <v>0</v>
      </c>
      <c r="M7" t="str" cm="1">
        <f t="array" aca="1" ref="M7:M15" ca="1">IF(_xlfn.ANCHORARRAY(L7)&gt;4,"FAIL","PASS")</f>
        <v>PASS</v>
      </c>
      <c r="N7" t="str" cm="1">
        <f t="array" aca="1" ref="N7:N15" ca="1">IF(((_xlfn.ANCHORARRAY(M7)="PASS")+(_xlfn.ANCHORARRAY(K7)="PASS")+(_xlfn.ANCHORARRAY(I7)="PASS"))&gt;1,"PASS","FAIL")</f>
        <v>PASS</v>
      </c>
      <c r="O7" cm="1">
        <f t="array" aca="1" ref="O7:O15" ca="1">VLOOKUP(_xlfn.ANCHORARRAY(G7),INDIRECT("'"&amp;F2&amp;"'!B:G"),6,FALSE)</f>
        <v>29.5</v>
      </c>
      <c r="Q7" s="12" t="str" cm="1">
        <f t="array" aca="1" ref="Q7:Q15" ca="1">_xlfn.ANCHORARRAY(E7)</f>
        <v>L000002F</v>
      </c>
      <c r="R7" s="13" t="str" cm="1">
        <f t="array" aca="1" ref="R7:R15" ca="1">_xlfn.VSTACK(_xlfn.ANCHORARRAY(F7)&amp;" "&amp;_xlfn.ANCHORARRAY(N7))</f>
        <v>FAB LABS PASS</v>
      </c>
      <c r="U7" t="str" cm="1">
        <f t="array" aca="1" ref="U7:U15" ca="1">_xlfn.ANCHORARRAY('ID sheet'!$A$3)</f>
        <v>L000002F</v>
      </c>
      <c r="V7" t="str" cm="1">
        <f t="array" aca="1" ref="V7:V15" ca="1">_xlfn.ANCHORARRAY('ID sheet'!$C$3)</f>
        <v>FAB LABS</v>
      </c>
      <c r="W7" t="str" cm="1">
        <f t="array" aca="1" ref="W7:W15" ca="1">_xlfn.ANCHORARRAY('ID sheet'!$B$3)</f>
        <v>L00 FAB LAB 01</v>
      </c>
      <c r="X7" cm="1">
        <f t="array" aca="1" ref="X7:X15" ca="1">VLOOKUP(_xlfn.ANCHORARRAY(W7),INDIRECT("'"&amp;V2&amp;"'!B:G"),3,FALSE)</f>
        <v>0.2</v>
      </c>
      <c r="Y7" t="str" cm="1">
        <f t="array" aca="1" ref="Y7:Y15" ca="1">IF(_xlfn.ANCHORARRAY(X7)&gt;=3,"FAIL","PASS")</f>
        <v>PASS</v>
      </c>
      <c r="Z7" cm="1">
        <f t="array" aca="1" ref="Z7:Z15" ca="1">VLOOKUP(_xlfn.ANCHORARRAY(W7),INDIRECT("'"&amp;V2&amp;"'!B:G"),4,FALSE)</f>
        <v>3</v>
      </c>
      <c r="AA7" t="str" cm="1">
        <f t="array" aca="1" ref="AA7:AA15" ca="1">IF(_xlfn.ANCHORARRAY(Z7)&gt;6,"FAIL","PASS")</f>
        <v>PASS</v>
      </c>
      <c r="AB7" cm="1">
        <f t="array" aca="1" ref="AB7:AB15" ca="1">VLOOKUP(_xlfn.ANCHORARRAY(W7),INDIRECT("'"&amp;V2&amp;"'!B:G"),5,FALSE)</f>
        <v>1</v>
      </c>
      <c r="AC7" t="str" cm="1">
        <f t="array" aca="1" ref="AC7:AC15" ca="1">IF(_xlfn.ANCHORARRAY(AB7)&gt;4,"FAIL","PASS")</f>
        <v>PASS</v>
      </c>
      <c r="AD7" t="str" cm="1">
        <f t="array" aca="1" ref="AD7:AD15" ca="1">IF(((_xlfn.ANCHORARRAY(AC7)="PASS")+(_xlfn.ANCHORARRAY(AA7)="PASS")+(_xlfn.ANCHORARRAY(Y7)="PASS"))&gt;1,"PASS","FAIL")</f>
        <v>PASS</v>
      </c>
      <c r="AE7" cm="1">
        <f t="array" aca="1" ref="AE7:AE15" ca="1">VLOOKUP(_xlfn.ANCHORARRAY(W7),INDIRECT("'"&amp;V2&amp;"'!B:G"),6,FALSE)</f>
        <v>30.7</v>
      </c>
      <c r="AG7" s="12" t="str" cm="1">
        <f t="array" aca="1" ref="AG7:AG15" ca="1">_xlfn.ANCHORARRAY(U7)</f>
        <v>L000002F</v>
      </c>
      <c r="AH7" s="13" t="str" cm="1">
        <f t="array" aca="1" ref="AH7:AH15" ca="1">_xlfn.VSTACK(_xlfn.ANCHORARRAY(V7)&amp;" "&amp;_xlfn.ANCHORARRAY(AD7))</f>
        <v>FAB LABS PASS</v>
      </c>
      <c r="AK7" t="str" cm="1">
        <f t="array" aca="1" ref="AK7:AK15" ca="1">_xlfn.ANCHORARRAY('ID sheet'!$A$3)</f>
        <v>L000002F</v>
      </c>
      <c r="AL7" t="str" cm="1">
        <f t="array" aca="1" ref="AL7:AL15" ca="1">_xlfn.ANCHORARRAY('ID sheet'!$C$3)</f>
        <v>FAB LABS</v>
      </c>
      <c r="AM7" t="str" cm="1">
        <f t="array" aca="1" ref="AM7:AM15" ca="1">_xlfn.ANCHORARRAY('ID sheet'!$B$3)</f>
        <v>L00 FAB LAB 01</v>
      </c>
      <c r="AN7" cm="1">
        <f t="array" aca="1" ref="AN7:AN15" ca="1">VLOOKUP(_xlfn.ANCHORARRAY(AM7),INDIRECT("'"&amp;AL2&amp;"'!B:G"),3,FALSE)</f>
        <v>0</v>
      </c>
      <c r="AO7" t="str" cm="1">
        <f t="array" aca="1" ref="AO7:AO15" ca="1">IF(_xlfn.ANCHORARRAY(AN7)&gt;=3,"FAIL","PASS")</f>
        <v>PASS</v>
      </c>
      <c r="AP7" cm="1">
        <f t="array" aca="1" ref="AP7:AP15" ca="1">VLOOKUP(_xlfn.ANCHORARRAY(AM7),INDIRECT("'"&amp;AL2&amp;"'!B:G"),4,FALSE)</f>
        <v>0</v>
      </c>
      <c r="AQ7" t="str" cm="1">
        <f t="array" aca="1" ref="AQ7:AQ15" ca="1">IF(_xlfn.ANCHORARRAY(AP7)&gt;6,"FAIL","PASS")</f>
        <v>PASS</v>
      </c>
      <c r="AR7" cm="1">
        <f t="array" aca="1" ref="AR7:AR15" ca="1">VLOOKUP(_xlfn.ANCHORARRAY(AM7),INDIRECT("'"&amp;AL2&amp;"'!B:G"),5,FALSE)</f>
        <v>0</v>
      </c>
      <c r="AS7" t="str" cm="1">
        <f t="array" aca="1" ref="AS7:AS15" ca="1">IF(_xlfn.ANCHORARRAY(AR7)&gt;4,"FAIL","PASS")</f>
        <v>PASS</v>
      </c>
      <c r="AT7" t="str" cm="1">
        <f t="array" aca="1" ref="AT7:AT15" ca="1">IF(((_xlfn.ANCHORARRAY(AS7)="PASS")+(_xlfn.ANCHORARRAY(AQ7)="PASS")+(_xlfn.ANCHORARRAY(AO7)="PASS"))&gt;1,"PASS","FAIL")</f>
        <v>PASS</v>
      </c>
      <c r="AU7" cm="1">
        <f t="array" aca="1" ref="AU7:AU15" ca="1">VLOOKUP(_xlfn.ANCHORARRAY(AM7),INDIRECT("'"&amp;AL2&amp;"'!B:G"),6,FALSE)</f>
        <v>30.3</v>
      </c>
      <c r="AW7" s="12" t="str" cm="1">
        <f t="array" aca="1" ref="AW7:AW15" ca="1">_xlfn.ANCHORARRAY(AK7)</f>
        <v>L000002F</v>
      </c>
      <c r="AX7" s="13" t="str" cm="1">
        <f t="array" aca="1" ref="AX7:AX15" ca="1">_xlfn.VSTACK(_xlfn.ANCHORARRAY(AL7)&amp;" "&amp;_xlfn.ANCHORARRAY(AT7))</f>
        <v>FAB LABS PASS</v>
      </c>
      <c r="BA7" t="str" cm="1">
        <f t="array" aca="1" ref="BA7:BA15" ca="1">_xlfn.ANCHORARRAY('ID sheet'!$A$3)</f>
        <v>L000002F</v>
      </c>
      <c r="BB7" t="str" cm="1">
        <f t="array" aca="1" ref="BB7:BB15" ca="1">_xlfn.ANCHORARRAY('ID sheet'!$C$3)</f>
        <v>FAB LABS</v>
      </c>
      <c r="BC7" t="str" cm="1">
        <f t="array" aca="1" ref="BC7:BC15" ca="1">_xlfn.ANCHORARRAY('ID sheet'!$B$3)</f>
        <v>L00 FAB LAB 01</v>
      </c>
      <c r="BD7" cm="1">
        <f t="array" aca="1" ref="BD7:BD15" ca="1">VLOOKUP(_xlfn.ANCHORARRAY(BC7),INDIRECT("'"&amp;BB2&amp;"'!B:G"),3,FALSE)</f>
        <v>0.5</v>
      </c>
      <c r="BE7" t="str" cm="1">
        <f t="array" aca="1" ref="BE7:BE15" ca="1">IF(_xlfn.ANCHORARRAY(BD7)&gt;=3,"FAIL","PASS")</f>
        <v>PASS</v>
      </c>
      <c r="BF7" cm="1">
        <f t="array" aca="1" ref="BF7:BF15" ca="1">VLOOKUP(_xlfn.ANCHORARRAY(BC7),INDIRECT("'"&amp;BB2&amp;"'!B:G"),4,FALSE)</f>
        <v>2</v>
      </c>
      <c r="BG7" t="str" cm="1">
        <f t="array" aca="1" ref="BG7:BG15" ca="1">IF(_xlfn.ANCHORARRAY(BF7)&gt;6,"FAIL","PASS")</f>
        <v>PASS</v>
      </c>
      <c r="BH7" cm="1">
        <f t="array" aca="1" ref="BH7:BH15" ca="1">VLOOKUP(_xlfn.ANCHORARRAY(BC7),INDIRECT("'"&amp;BB2&amp;"'!B:G"),5,FALSE)</f>
        <v>1</v>
      </c>
      <c r="BI7" t="str" cm="1">
        <f t="array" aca="1" ref="BI7:BI15" ca="1">IF(_xlfn.ANCHORARRAY(BH7)&gt;4,"FAIL","PASS")</f>
        <v>PASS</v>
      </c>
      <c r="BJ7" t="str" cm="1">
        <f t="array" aca="1" ref="BJ7:BJ15" ca="1">IF(((_xlfn.ANCHORARRAY(BI7)="PASS")+(_xlfn.ANCHORARRAY(BG7)="PASS")+(_xlfn.ANCHORARRAY(BE7)="PASS"))&gt;1,"PASS","FAIL")</f>
        <v>PASS</v>
      </c>
      <c r="BK7" cm="1">
        <f t="array" aca="1" ref="BK7:BK15" ca="1">VLOOKUP(_xlfn.ANCHORARRAY(BC7),INDIRECT("'"&amp;BB2&amp;"'!B:G"),6,FALSE)</f>
        <v>30.9</v>
      </c>
      <c r="BM7" s="12" t="str" cm="1">
        <f t="array" aca="1" ref="BM7:BM15" ca="1">_xlfn.ANCHORARRAY(BA7)</f>
        <v>L000002F</v>
      </c>
      <c r="BN7" s="13" t="str" cm="1">
        <f t="array" aca="1" ref="BN7:BN15" ca="1">_xlfn.VSTACK(_xlfn.ANCHORARRAY(BB7)&amp;" "&amp;_xlfn.ANCHORARRAY(BJ7))</f>
        <v>FAB LABS PASS</v>
      </c>
      <c r="BQ7" t="str" cm="1">
        <f t="array" aca="1" ref="BQ7:BQ15" ca="1">_xlfn.ANCHORARRAY('ID sheet'!$A$3)</f>
        <v>L000002F</v>
      </c>
      <c r="BR7" t="str" cm="1">
        <f t="array" aca="1" ref="BR7:BR15" ca="1">_xlfn.ANCHORARRAY('ID sheet'!$C$3)</f>
        <v>FAB LABS</v>
      </c>
      <c r="BS7" t="str" cm="1">
        <f t="array" aca="1" ref="BS7:BS15" ca="1">_xlfn.ANCHORARRAY('ID sheet'!$B$3)</f>
        <v>L00 FAB LAB 01</v>
      </c>
      <c r="BT7" cm="1">
        <f t="array" aca="1" ref="BT7:BT15" ca="1">VLOOKUP(_xlfn.ANCHORARRAY(BS7),INDIRECT("'"&amp;BR2&amp;"'!B:G"),3,FALSE)</f>
        <v>0.6</v>
      </c>
      <c r="BU7" t="str" cm="1">
        <f t="array" aca="1" ref="BU7:BU15" ca="1">IF(_xlfn.ANCHORARRAY(BT7)&gt;=3,"FAIL","PASS")</f>
        <v>PASS</v>
      </c>
      <c r="BV7" cm="1">
        <f t="array" aca="1" ref="BV7:BV15" ca="1">VLOOKUP(_xlfn.ANCHORARRAY(BS7),INDIRECT("'"&amp;BR2&amp;"'!B:G"),4,FALSE)</f>
        <v>4</v>
      </c>
      <c r="BW7" t="str" cm="1">
        <f t="array" aca="1" ref="BW7:BW15" ca="1">IF(_xlfn.ANCHORARRAY(BV7)&gt;6,"FAIL","PASS")</f>
        <v>PASS</v>
      </c>
      <c r="BX7" cm="1">
        <f t="array" aca="1" ref="BX7:BX15" ca="1">VLOOKUP(_xlfn.ANCHORARRAY(BS7),INDIRECT("'"&amp;BR2&amp;"'!B:G"),5,FALSE)</f>
        <v>1</v>
      </c>
      <c r="BY7" t="str" cm="1">
        <f t="array" aca="1" ref="BY7:BY15" ca="1">IF(_xlfn.ANCHORARRAY(BX7)&gt;4,"FAIL","PASS")</f>
        <v>PASS</v>
      </c>
      <c r="BZ7" t="str" cm="1">
        <f t="array" aca="1" ref="BZ7:BZ15" ca="1">IF(((_xlfn.ANCHORARRAY(BY7)="PASS")+(_xlfn.ANCHORARRAY(BW7)="PASS")+(_xlfn.ANCHORARRAY(BU7)="PASS"))&gt;1,"PASS","FAIL")</f>
        <v>PASS</v>
      </c>
      <c r="CA7" cm="1">
        <f t="array" aca="1" ref="CA7:CA15" ca="1">VLOOKUP(_xlfn.ANCHORARRAY(BS7),INDIRECT("'"&amp;BR2&amp;"'!B:G"),6,FALSE)</f>
        <v>31.7</v>
      </c>
      <c r="CC7" s="12" t="str" cm="1">
        <f t="array" aca="1" ref="CC7:CC15" ca="1">_xlfn.ANCHORARRAY(BQ7)</f>
        <v>L000002F</v>
      </c>
      <c r="CD7" s="13" t="str" cm="1">
        <f t="array" aca="1" ref="CD7:CD15" ca="1">_xlfn.VSTACK(_xlfn.ANCHORARRAY(BR7)&amp;" "&amp;_xlfn.ANCHORARRAY(BZ7))</f>
        <v>FAB LABS PASS</v>
      </c>
      <c r="CG7" t="str" cm="1">
        <f t="array" aca="1" ref="CG7:CG15" ca="1">_xlfn.ANCHORARRAY('ID sheet'!$A$3)</f>
        <v>L000002F</v>
      </c>
      <c r="CH7" t="str" cm="1">
        <f t="array" aca="1" ref="CH7:CH15" ca="1">_xlfn.ANCHORARRAY('ID sheet'!$C$3)</f>
        <v>FAB LABS</v>
      </c>
      <c r="CI7" t="str" cm="1">
        <f t="array" aca="1" ref="CI7:CI15" ca="1">_xlfn.ANCHORARRAY('ID sheet'!$B$3)</f>
        <v>L00 FAB LAB 01</v>
      </c>
      <c r="CJ7" cm="1">
        <f t="array" aca="1" ref="CJ7:CJ15" ca="1">VLOOKUP(_xlfn.ANCHORARRAY(CI7),INDIRECT("'"&amp;CH2&amp;"'!B:G"),3,FALSE)</f>
        <v>0.5</v>
      </c>
      <c r="CK7" t="str" cm="1">
        <f t="array" aca="1" ref="CK7:CK15" ca="1">IF(_xlfn.ANCHORARRAY(CJ7)&gt;=3,"FAIL","PASS")</f>
        <v>PASS</v>
      </c>
      <c r="CL7" cm="1">
        <f t="array" aca="1" ref="CL7:CL15" ca="1">VLOOKUP(_xlfn.ANCHORARRAY(CI7),INDIRECT("'"&amp;CH2&amp;"'!B:G"),4,FALSE)</f>
        <v>2</v>
      </c>
      <c r="CM7" t="str" cm="1">
        <f t="array" aca="1" ref="CM7:CM15" ca="1">IF(_xlfn.ANCHORARRAY(CL7)&gt;6,"FAIL","PASS")</f>
        <v>PASS</v>
      </c>
      <c r="CN7" cm="1">
        <f t="array" aca="1" ref="CN7:CN15" ca="1">VLOOKUP(_xlfn.ANCHORARRAY(CI7),INDIRECT("'"&amp;CH2&amp;"'!B:G"),5,FALSE)</f>
        <v>1</v>
      </c>
      <c r="CO7" t="str" cm="1">
        <f t="array" aca="1" ref="CO7:CO15" ca="1">IF(_xlfn.ANCHORARRAY(CN7)&gt;4,"FAIL","PASS")</f>
        <v>PASS</v>
      </c>
      <c r="CP7" t="str" cm="1">
        <f t="array" aca="1" ref="CP7:CP15" ca="1">IF(((_xlfn.ANCHORARRAY(CO7)="PASS")+(_xlfn.ANCHORARRAY(CM7)="PASS")+(_xlfn.ANCHORARRAY(CK7)="PASS"))&gt;1,"PASS","FAIL")</f>
        <v>PASS</v>
      </c>
      <c r="CQ7" cm="1">
        <f t="array" aca="1" ref="CQ7:CQ15" ca="1">VLOOKUP(_xlfn.ANCHORARRAY(CI7),INDIRECT("'"&amp;CH2&amp;"'!B:G"),6,FALSE)</f>
        <v>31.4</v>
      </c>
      <c r="CS7" s="12" t="str" cm="1">
        <f t="array" aca="1" ref="CS7:CS15" ca="1">_xlfn.ANCHORARRAY(CG7)</f>
        <v>L000002F</v>
      </c>
      <c r="CT7" s="13" t="str" cm="1">
        <f t="array" aca="1" ref="CT7:CT15" ca="1">_xlfn.VSTACK(_xlfn.ANCHORARRAY(CH7)&amp;" "&amp;_xlfn.ANCHORARRAY(CP7))</f>
        <v>FAB LABS PASS</v>
      </c>
    </row>
    <row r="8" spans="2:99" x14ac:dyDescent="0.25">
      <c r="B8" s="240"/>
      <c r="E8" t="str">
        <f ca="1"/>
        <v>L000003F</v>
      </c>
      <c r="F8" t="str">
        <f ca="1"/>
        <v>FAB LABS</v>
      </c>
      <c r="G8" t="str">
        <f ca="1"/>
        <v>L00 FAB LAB 02</v>
      </c>
      <c r="H8">
        <f ca="1"/>
        <v>0</v>
      </c>
      <c r="I8" t="str">
        <f ca="1"/>
        <v>PASS</v>
      </c>
      <c r="J8">
        <f ca="1"/>
        <v>0</v>
      </c>
      <c r="K8" t="str">
        <f ca="1"/>
        <v>PASS</v>
      </c>
      <c r="L8">
        <f ca="1"/>
        <v>0</v>
      </c>
      <c r="M8" t="str">
        <f ca="1"/>
        <v>PASS</v>
      </c>
      <c r="N8" t="str">
        <f ca="1"/>
        <v>PASS</v>
      </c>
      <c r="O8">
        <f ca="1"/>
        <v>29.6</v>
      </c>
      <c r="Q8" s="12" t="str">
        <f ca="1"/>
        <v>L000003F</v>
      </c>
      <c r="R8" s="13" t="str">
        <f ca="1"/>
        <v>FAB LABS PASS</v>
      </c>
      <c r="U8" t="str">
        <f ca="1"/>
        <v>L000003F</v>
      </c>
      <c r="V8" t="str">
        <f ca="1"/>
        <v>FAB LABS</v>
      </c>
      <c r="W8" t="str">
        <f ca="1"/>
        <v>L00 FAB LAB 02</v>
      </c>
      <c r="X8">
        <f ca="1"/>
        <v>0.2</v>
      </c>
      <c r="Y8" t="str">
        <f ca="1"/>
        <v>PASS</v>
      </c>
      <c r="Z8">
        <f ca="1"/>
        <v>3</v>
      </c>
      <c r="AA8" t="str">
        <f ca="1"/>
        <v>PASS</v>
      </c>
      <c r="AB8">
        <f ca="1"/>
        <v>1</v>
      </c>
      <c r="AC8" t="str">
        <f ca="1"/>
        <v>PASS</v>
      </c>
      <c r="AD8" t="str">
        <f ca="1"/>
        <v>PASS</v>
      </c>
      <c r="AE8">
        <f ca="1"/>
        <v>30.7</v>
      </c>
      <c r="AG8" s="12" t="str">
        <f ca="1"/>
        <v>L000003F</v>
      </c>
      <c r="AH8" s="13" t="str">
        <f ca="1"/>
        <v>FAB LABS PASS</v>
      </c>
      <c r="AK8" t="str">
        <f ca="1"/>
        <v>L000003F</v>
      </c>
      <c r="AL8" t="str">
        <f ca="1"/>
        <v>FAB LABS</v>
      </c>
      <c r="AM8" t="str">
        <f ca="1"/>
        <v>L00 FAB LAB 02</v>
      </c>
      <c r="AN8">
        <f ca="1"/>
        <v>0.1</v>
      </c>
      <c r="AO8" t="str">
        <f ca="1"/>
        <v>PASS</v>
      </c>
      <c r="AP8">
        <f ca="1"/>
        <v>1</v>
      </c>
      <c r="AQ8" t="str">
        <f ca="1"/>
        <v>PASS</v>
      </c>
      <c r="AR8">
        <f ca="1"/>
        <v>1</v>
      </c>
      <c r="AS8" t="str">
        <f ca="1"/>
        <v>PASS</v>
      </c>
      <c r="AT8" t="str">
        <f ca="1"/>
        <v>PASS</v>
      </c>
      <c r="AU8">
        <f ca="1"/>
        <v>30.5</v>
      </c>
      <c r="AW8" s="12" t="str">
        <f ca="1"/>
        <v>L000003F</v>
      </c>
      <c r="AX8" s="13" t="str">
        <f ca="1"/>
        <v>FAB LABS PASS</v>
      </c>
      <c r="BA8" t="str">
        <f ca="1"/>
        <v>L000003F</v>
      </c>
      <c r="BB8" t="str">
        <f ca="1"/>
        <v>FAB LABS</v>
      </c>
      <c r="BC8" t="str">
        <f ca="1"/>
        <v>L00 FAB LAB 02</v>
      </c>
      <c r="BD8">
        <f ca="1"/>
        <v>0.7</v>
      </c>
      <c r="BE8" t="str">
        <f ca="1"/>
        <v>PASS</v>
      </c>
      <c r="BF8">
        <f ca="1"/>
        <v>3</v>
      </c>
      <c r="BG8" t="str">
        <f ca="1"/>
        <v>PASS</v>
      </c>
      <c r="BH8">
        <f ca="1"/>
        <v>1</v>
      </c>
      <c r="BI8" t="str">
        <f ca="1"/>
        <v>PASS</v>
      </c>
      <c r="BJ8" t="str">
        <f ca="1"/>
        <v>PASS</v>
      </c>
      <c r="BK8">
        <f ca="1"/>
        <v>31</v>
      </c>
      <c r="BM8" s="12" t="str">
        <f ca="1"/>
        <v>L000003F</v>
      </c>
      <c r="BN8" s="13" t="str">
        <f ca="1"/>
        <v>FAB LABS PASS</v>
      </c>
      <c r="BQ8" t="str">
        <f ca="1"/>
        <v>L000003F</v>
      </c>
      <c r="BR8" t="str">
        <f ca="1"/>
        <v>FAB LABS</v>
      </c>
      <c r="BS8" t="str">
        <f ca="1"/>
        <v>L00 FAB LAB 02</v>
      </c>
      <c r="BT8">
        <f ca="1"/>
        <v>0.7</v>
      </c>
      <c r="BU8" t="str">
        <f ca="1"/>
        <v>PASS</v>
      </c>
      <c r="BV8">
        <f ca="1"/>
        <v>4</v>
      </c>
      <c r="BW8" t="str">
        <f ca="1"/>
        <v>PASS</v>
      </c>
      <c r="BX8">
        <f ca="1"/>
        <v>1</v>
      </c>
      <c r="BY8" t="str">
        <f ca="1"/>
        <v>PASS</v>
      </c>
      <c r="BZ8" t="str">
        <f ca="1"/>
        <v>PASS</v>
      </c>
      <c r="CA8">
        <f ca="1"/>
        <v>31.7</v>
      </c>
      <c r="CC8" s="12" t="str">
        <f ca="1"/>
        <v>L000003F</v>
      </c>
      <c r="CD8" s="13" t="str">
        <f ca="1"/>
        <v>FAB LABS PASS</v>
      </c>
      <c r="CG8" t="str">
        <f ca="1"/>
        <v>L000003F</v>
      </c>
      <c r="CH8" t="str">
        <f ca="1"/>
        <v>FAB LABS</v>
      </c>
      <c r="CI8" t="str">
        <f ca="1"/>
        <v>L00 FAB LAB 02</v>
      </c>
      <c r="CJ8">
        <f ca="1"/>
        <v>1.4</v>
      </c>
      <c r="CK8" t="str">
        <f ca="1"/>
        <v>PASS</v>
      </c>
      <c r="CL8">
        <f ca="1"/>
        <v>3</v>
      </c>
      <c r="CM8" t="str">
        <f ca="1"/>
        <v>PASS</v>
      </c>
      <c r="CN8">
        <f ca="1"/>
        <v>1</v>
      </c>
      <c r="CO8" t="str">
        <f ca="1"/>
        <v>PASS</v>
      </c>
      <c r="CP8" t="str">
        <f ca="1"/>
        <v>PASS</v>
      </c>
      <c r="CQ8">
        <f ca="1"/>
        <v>31.6</v>
      </c>
      <c r="CS8" s="12" t="str">
        <f ca="1"/>
        <v>L000003F</v>
      </c>
      <c r="CT8" s="13" t="str">
        <f ca="1"/>
        <v>FAB LABS PASS</v>
      </c>
    </row>
    <row r="9" spans="2:99" ht="14.45" customHeight="1" x14ac:dyDescent="0.25">
      <c r="B9" s="240"/>
      <c r="E9" t="str">
        <f ca="1"/>
        <v>L0000041</v>
      </c>
      <c r="F9" t="str">
        <f ca="1"/>
        <v>FAB LABS</v>
      </c>
      <c r="G9" t="str">
        <f ca="1"/>
        <v>L00 FAB LAB 03</v>
      </c>
      <c r="H9">
        <f ca="1"/>
        <v>0</v>
      </c>
      <c r="I9" t="str">
        <f ca="1"/>
        <v>PASS</v>
      </c>
      <c r="J9">
        <f ca="1"/>
        <v>0</v>
      </c>
      <c r="K9" t="str">
        <f ca="1"/>
        <v>PASS</v>
      </c>
      <c r="L9">
        <f ca="1"/>
        <v>0</v>
      </c>
      <c r="M9" t="str">
        <f ca="1"/>
        <v>PASS</v>
      </c>
      <c r="N9" t="str">
        <f ca="1"/>
        <v>PASS</v>
      </c>
      <c r="O9">
        <f ca="1"/>
        <v>29.6</v>
      </c>
      <c r="Q9" s="12" t="str">
        <f ca="1"/>
        <v>L0000041</v>
      </c>
      <c r="R9" s="13" t="str">
        <f ca="1"/>
        <v>FAB LABS PASS</v>
      </c>
      <c r="U9" t="str">
        <f ca="1"/>
        <v>L0000041</v>
      </c>
      <c r="V9" t="str">
        <f ca="1"/>
        <v>FAB LABS</v>
      </c>
      <c r="W9" t="str">
        <f ca="1"/>
        <v>L00 FAB LAB 03</v>
      </c>
      <c r="X9">
        <f ca="1"/>
        <v>0.4</v>
      </c>
      <c r="Y9" t="str">
        <f ca="1"/>
        <v>PASS</v>
      </c>
      <c r="Z9">
        <f ca="1"/>
        <v>3</v>
      </c>
      <c r="AA9" t="str">
        <f ca="1"/>
        <v>PASS</v>
      </c>
      <c r="AB9">
        <f ca="1"/>
        <v>1</v>
      </c>
      <c r="AC9" t="str">
        <f ca="1"/>
        <v>PASS</v>
      </c>
      <c r="AD9" t="str">
        <f ca="1"/>
        <v>PASS</v>
      </c>
      <c r="AE9">
        <f ca="1"/>
        <v>31.3</v>
      </c>
      <c r="AG9" s="12" t="str">
        <f ca="1"/>
        <v>L0000041</v>
      </c>
      <c r="AH9" s="13" t="str">
        <f ca="1"/>
        <v>FAB LABS PASS</v>
      </c>
      <c r="AK9" t="str">
        <f ca="1"/>
        <v>L0000041</v>
      </c>
      <c r="AL9" t="str">
        <f ca="1"/>
        <v>FAB LABS</v>
      </c>
      <c r="AM9" t="str">
        <f ca="1"/>
        <v>L00 FAB LAB 03</v>
      </c>
      <c r="AN9">
        <f ca="1"/>
        <v>0</v>
      </c>
      <c r="AO9" t="str">
        <f ca="1"/>
        <v>PASS</v>
      </c>
      <c r="AP9">
        <f ca="1"/>
        <v>0</v>
      </c>
      <c r="AQ9" t="str">
        <f ca="1"/>
        <v>PASS</v>
      </c>
      <c r="AR9">
        <f ca="1"/>
        <v>0</v>
      </c>
      <c r="AS9" t="str">
        <f ca="1"/>
        <v>PASS</v>
      </c>
      <c r="AT9" t="str">
        <f ca="1"/>
        <v>PASS</v>
      </c>
      <c r="AU9">
        <f ca="1"/>
        <v>30.5</v>
      </c>
      <c r="AW9" s="12" t="str">
        <f ca="1"/>
        <v>L0000041</v>
      </c>
      <c r="AX9" s="13" t="str">
        <f ca="1"/>
        <v>FAB LABS PASS</v>
      </c>
      <c r="BA9" t="str">
        <f ca="1"/>
        <v>L0000041</v>
      </c>
      <c r="BB9" t="str">
        <f ca="1"/>
        <v>FAB LABS</v>
      </c>
      <c r="BC9" t="str">
        <f ca="1"/>
        <v>L00 FAB LAB 03</v>
      </c>
      <c r="BD9">
        <f ca="1"/>
        <v>0.5</v>
      </c>
      <c r="BE9" t="str">
        <f ca="1"/>
        <v>PASS</v>
      </c>
      <c r="BF9">
        <f ca="1"/>
        <v>3</v>
      </c>
      <c r="BG9" t="str">
        <f ca="1"/>
        <v>PASS</v>
      </c>
      <c r="BH9">
        <f ca="1"/>
        <v>1</v>
      </c>
      <c r="BI9" t="str">
        <f ca="1"/>
        <v>PASS</v>
      </c>
      <c r="BJ9" t="str">
        <f ca="1"/>
        <v>PASS</v>
      </c>
      <c r="BK9">
        <f ca="1"/>
        <v>31</v>
      </c>
      <c r="BM9" s="12" t="str">
        <f ca="1"/>
        <v>L0000041</v>
      </c>
      <c r="BN9" s="13" t="str">
        <f ca="1"/>
        <v>FAB LABS PASS</v>
      </c>
      <c r="BQ9" t="str">
        <f ca="1"/>
        <v>L0000041</v>
      </c>
      <c r="BR9" t="str">
        <f ca="1"/>
        <v>FAB LABS</v>
      </c>
      <c r="BS9" t="str">
        <f ca="1"/>
        <v>L00 FAB LAB 03</v>
      </c>
      <c r="BT9">
        <f ca="1"/>
        <v>0.9</v>
      </c>
      <c r="BU9" t="str">
        <f ca="1"/>
        <v>PASS</v>
      </c>
      <c r="BV9">
        <f ca="1"/>
        <v>7</v>
      </c>
      <c r="BW9" t="str">
        <f ca="1"/>
        <v>FAIL</v>
      </c>
      <c r="BX9">
        <f ca="1"/>
        <v>2</v>
      </c>
      <c r="BY9" t="str">
        <f ca="1"/>
        <v>PASS</v>
      </c>
      <c r="BZ9" t="str">
        <f ca="1"/>
        <v>PASS</v>
      </c>
      <c r="CA9">
        <f ca="1"/>
        <v>32.299999999999997</v>
      </c>
      <c r="CC9" s="12" t="str">
        <f ca="1"/>
        <v>L0000041</v>
      </c>
      <c r="CD9" s="13" t="str">
        <f ca="1"/>
        <v>FAB LABS PASS</v>
      </c>
      <c r="CG9" t="str">
        <f ca="1"/>
        <v>L0000041</v>
      </c>
      <c r="CH9" t="str">
        <f ca="1"/>
        <v>FAB LABS</v>
      </c>
      <c r="CI9" t="str">
        <f ca="1"/>
        <v>L00 FAB LAB 03</v>
      </c>
      <c r="CJ9">
        <f ca="1"/>
        <v>0.9</v>
      </c>
      <c r="CK9" t="str">
        <f ca="1"/>
        <v>PASS</v>
      </c>
      <c r="CL9">
        <f ca="1"/>
        <v>3</v>
      </c>
      <c r="CM9" t="str">
        <f ca="1"/>
        <v>PASS</v>
      </c>
      <c r="CN9">
        <f ca="1"/>
        <v>1</v>
      </c>
      <c r="CO9" t="str">
        <f ca="1"/>
        <v>PASS</v>
      </c>
      <c r="CP9" t="str">
        <f ca="1"/>
        <v>PASS</v>
      </c>
      <c r="CQ9">
        <f ca="1"/>
        <v>31.6</v>
      </c>
      <c r="CS9" s="12" t="str">
        <f ca="1"/>
        <v>L0000041</v>
      </c>
      <c r="CT9" s="13" t="str">
        <f ca="1"/>
        <v>FAB LABS PASS</v>
      </c>
    </row>
    <row r="10" spans="2:99" x14ac:dyDescent="0.25">
      <c r="B10" s="8"/>
      <c r="E10" t="str">
        <f ca="1"/>
        <v>L000000F</v>
      </c>
      <c r="F10" t="str">
        <f ca="1"/>
        <v>FAB LABS</v>
      </c>
      <c r="G10" t="str">
        <f ca="1"/>
        <v>L00 FAB LAB 04</v>
      </c>
      <c r="H10">
        <f ca="1"/>
        <v>0</v>
      </c>
      <c r="I10" t="str">
        <f ca="1"/>
        <v>PASS</v>
      </c>
      <c r="J10">
        <f ca="1"/>
        <v>0</v>
      </c>
      <c r="K10" t="str">
        <f ca="1"/>
        <v>PASS</v>
      </c>
      <c r="L10">
        <f ca="1"/>
        <v>0</v>
      </c>
      <c r="M10" t="str">
        <f ca="1"/>
        <v>PASS</v>
      </c>
      <c r="N10" t="str">
        <f ca="1"/>
        <v>PASS</v>
      </c>
      <c r="O10">
        <f ca="1"/>
        <v>29.7</v>
      </c>
      <c r="Q10" s="12" t="str">
        <f ca="1"/>
        <v>L000000F</v>
      </c>
      <c r="R10" s="13" t="str">
        <f ca="1"/>
        <v>FAB LABS PASS</v>
      </c>
      <c r="U10" t="str">
        <f ca="1"/>
        <v>L000000F</v>
      </c>
      <c r="V10" t="str">
        <f ca="1"/>
        <v>FAB LABS</v>
      </c>
      <c r="W10" t="str">
        <f ca="1"/>
        <v>L00 FAB LAB 04</v>
      </c>
      <c r="X10">
        <f ca="1"/>
        <v>0.2</v>
      </c>
      <c r="Y10" t="str">
        <f ca="1"/>
        <v>PASS</v>
      </c>
      <c r="Z10">
        <f ca="1"/>
        <v>3</v>
      </c>
      <c r="AA10" t="str">
        <f ca="1"/>
        <v>PASS</v>
      </c>
      <c r="AB10">
        <f ca="1"/>
        <v>1</v>
      </c>
      <c r="AC10" t="str">
        <f ca="1"/>
        <v>PASS</v>
      </c>
      <c r="AD10" t="str">
        <f ca="1"/>
        <v>PASS</v>
      </c>
      <c r="AE10">
        <f ca="1"/>
        <v>30.8</v>
      </c>
      <c r="AG10" s="12" t="str">
        <f ca="1"/>
        <v>L000000F</v>
      </c>
      <c r="AH10" s="13" t="str">
        <f ca="1"/>
        <v>FAB LABS PASS</v>
      </c>
      <c r="AK10" t="str">
        <f ca="1"/>
        <v>L000000F</v>
      </c>
      <c r="AL10" t="str">
        <f ca="1"/>
        <v>FAB LABS</v>
      </c>
      <c r="AM10" t="str">
        <f ca="1"/>
        <v>L00 FAB LAB 04</v>
      </c>
      <c r="AN10">
        <f ca="1"/>
        <v>0</v>
      </c>
      <c r="AO10" t="str">
        <f ca="1"/>
        <v>PASS</v>
      </c>
      <c r="AP10">
        <f ca="1"/>
        <v>0</v>
      </c>
      <c r="AQ10" t="str">
        <f ca="1"/>
        <v>PASS</v>
      </c>
      <c r="AR10">
        <f ca="1"/>
        <v>0</v>
      </c>
      <c r="AS10" t="str">
        <f ca="1"/>
        <v>PASS</v>
      </c>
      <c r="AT10" t="str">
        <f ca="1"/>
        <v>PASS</v>
      </c>
      <c r="AU10">
        <f ca="1"/>
        <v>30.4</v>
      </c>
      <c r="AW10" s="12" t="str">
        <f ca="1"/>
        <v>L000000F</v>
      </c>
      <c r="AX10" s="13" t="str">
        <f ca="1"/>
        <v>FAB LABS PASS</v>
      </c>
      <c r="BA10" t="str">
        <f ca="1"/>
        <v>L000000F</v>
      </c>
      <c r="BB10" t="str">
        <f ca="1"/>
        <v>FAB LABS</v>
      </c>
      <c r="BC10" t="str">
        <f ca="1"/>
        <v>L00 FAB LAB 04</v>
      </c>
      <c r="BD10">
        <f ca="1"/>
        <v>0.6</v>
      </c>
      <c r="BE10" t="str">
        <f ca="1"/>
        <v>PASS</v>
      </c>
      <c r="BF10">
        <f ca="1"/>
        <v>3</v>
      </c>
      <c r="BG10" t="str">
        <f ca="1"/>
        <v>PASS</v>
      </c>
      <c r="BH10">
        <f ca="1"/>
        <v>1</v>
      </c>
      <c r="BI10" t="str">
        <f ca="1"/>
        <v>PASS</v>
      </c>
      <c r="BJ10" t="str">
        <f ca="1"/>
        <v>PASS</v>
      </c>
      <c r="BK10">
        <f ca="1"/>
        <v>31.1</v>
      </c>
      <c r="BM10" s="12" t="str">
        <f ca="1"/>
        <v>L000000F</v>
      </c>
      <c r="BN10" s="13" t="str">
        <f ca="1"/>
        <v>FAB LABS PASS</v>
      </c>
      <c r="BQ10" t="str">
        <f ca="1"/>
        <v>L000000F</v>
      </c>
      <c r="BR10" t="str">
        <f ca="1"/>
        <v>FAB LABS</v>
      </c>
      <c r="BS10" t="str">
        <f ca="1"/>
        <v>L00 FAB LAB 04</v>
      </c>
      <c r="BT10">
        <f ca="1"/>
        <v>0.7</v>
      </c>
      <c r="BU10" t="str">
        <f ca="1"/>
        <v>PASS</v>
      </c>
      <c r="BV10">
        <f ca="1"/>
        <v>5</v>
      </c>
      <c r="BW10" t="str">
        <f ca="1"/>
        <v>PASS</v>
      </c>
      <c r="BX10">
        <f ca="1"/>
        <v>2</v>
      </c>
      <c r="BY10" t="str">
        <f ca="1"/>
        <v>PASS</v>
      </c>
      <c r="BZ10" t="str">
        <f ca="1"/>
        <v>PASS</v>
      </c>
      <c r="CA10">
        <f ca="1"/>
        <v>31.8</v>
      </c>
      <c r="CC10" s="12" t="str">
        <f ca="1"/>
        <v>L000000F</v>
      </c>
      <c r="CD10" s="13" t="str">
        <f ca="1"/>
        <v>FAB LABS PASS</v>
      </c>
      <c r="CG10" t="str">
        <f ca="1"/>
        <v>L000000F</v>
      </c>
      <c r="CH10" t="str">
        <f ca="1"/>
        <v>FAB LABS</v>
      </c>
      <c r="CI10" t="str">
        <f ca="1"/>
        <v>L00 FAB LAB 04</v>
      </c>
      <c r="CJ10">
        <f ca="1"/>
        <v>0.8</v>
      </c>
      <c r="CK10" t="str">
        <f ca="1"/>
        <v>PASS</v>
      </c>
      <c r="CL10">
        <f ca="1"/>
        <v>2</v>
      </c>
      <c r="CM10" t="str">
        <f ca="1"/>
        <v>PASS</v>
      </c>
      <c r="CN10">
        <f ca="1"/>
        <v>1</v>
      </c>
      <c r="CO10" t="str">
        <f ca="1"/>
        <v>PASS</v>
      </c>
      <c r="CP10" t="str">
        <f ca="1"/>
        <v>PASS</v>
      </c>
      <c r="CQ10">
        <f ca="1"/>
        <v>31.5</v>
      </c>
      <c r="CS10" s="12" t="str">
        <f ca="1"/>
        <v>L000000F</v>
      </c>
      <c r="CT10" s="13" t="str">
        <f ca="1"/>
        <v>FAB LABS PASS</v>
      </c>
    </row>
    <row r="11" spans="2:99" ht="15.75" thickBot="1" x14ac:dyDescent="0.3">
      <c r="B11" s="29" t="s">
        <v>4</v>
      </c>
      <c r="E11" t="str">
        <f ca="1"/>
        <v>L000000E</v>
      </c>
      <c r="F11" t="str">
        <f ca="1"/>
        <v>FAB LABS</v>
      </c>
      <c r="G11" t="str">
        <f ca="1"/>
        <v>L01 FAB LAB 05</v>
      </c>
      <c r="H11">
        <f ca="1"/>
        <v>0</v>
      </c>
      <c r="I11" t="str">
        <f ca="1"/>
        <v>PASS</v>
      </c>
      <c r="J11">
        <f ca="1"/>
        <v>0</v>
      </c>
      <c r="K11" t="str">
        <f ca="1"/>
        <v>PASS</v>
      </c>
      <c r="L11">
        <f ca="1"/>
        <v>0</v>
      </c>
      <c r="M11" t="str">
        <f ca="1"/>
        <v>PASS</v>
      </c>
      <c r="N11" t="str">
        <f ca="1"/>
        <v>PASS</v>
      </c>
      <c r="O11">
        <f ca="1"/>
        <v>29.2</v>
      </c>
      <c r="Q11" s="12" t="str">
        <f ca="1"/>
        <v>L000000E</v>
      </c>
      <c r="R11" s="13" t="str">
        <f ca="1"/>
        <v>FAB LABS PASS</v>
      </c>
      <c r="U11" t="str">
        <f ca="1"/>
        <v>L000000E</v>
      </c>
      <c r="V11" t="str">
        <f ca="1"/>
        <v>FAB LABS</v>
      </c>
      <c r="W11" t="str">
        <f ca="1"/>
        <v>L01 FAB LAB 05</v>
      </c>
      <c r="X11">
        <f ca="1"/>
        <v>0</v>
      </c>
      <c r="Y11" t="str">
        <f ca="1"/>
        <v>PASS</v>
      </c>
      <c r="Z11">
        <f ca="1"/>
        <v>0</v>
      </c>
      <c r="AA11" t="str">
        <f ca="1"/>
        <v>PASS</v>
      </c>
      <c r="AB11">
        <f ca="1"/>
        <v>0</v>
      </c>
      <c r="AC11" t="str">
        <f ca="1"/>
        <v>PASS</v>
      </c>
      <c r="AD11" t="str">
        <f ca="1"/>
        <v>PASS</v>
      </c>
      <c r="AE11">
        <f ca="1"/>
        <v>30.3</v>
      </c>
      <c r="AG11" s="12" t="str">
        <f ca="1"/>
        <v>L000000E</v>
      </c>
      <c r="AH11" s="13" t="str">
        <f ca="1"/>
        <v>FAB LABS PASS</v>
      </c>
      <c r="AK11" t="str">
        <f ca="1"/>
        <v>L000000E</v>
      </c>
      <c r="AL11" t="str">
        <f ca="1"/>
        <v>FAB LABS</v>
      </c>
      <c r="AM11" t="str">
        <f ca="1"/>
        <v>L01 FAB LAB 05</v>
      </c>
      <c r="AN11">
        <f ca="1"/>
        <v>0</v>
      </c>
      <c r="AO11" t="str">
        <f ca="1"/>
        <v>PASS</v>
      </c>
      <c r="AP11">
        <f ca="1"/>
        <v>0</v>
      </c>
      <c r="AQ11" t="str">
        <f ca="1"/>
        <v>PASS</v>
      </c>
      <c r="AR11">
        <f ca="1"/>
        <v>0</v>
      </c>
      <c r="AS11" t="str">
        <f ca="1"/>
        <v>PASS</v>
      </c>
      <c r="AT11" t="str">
        <f ca="1"/>
        <v>PASS</v>
      </c>
      <c r="AU11">
        <f ca="1"/>
        <v>29.8</v>
      </c>
      <c r="AW11" s="12" t="str">
        <f ca="1"/>
        <v>L000000E</v>
      </c>
      <c r="AX11" s="13" t="str">
        <f ca="1"/>
        <v>FAB LABS PASS</v>
      </c>
      <c r="BA11" t="str">
        <f ca="1"/>
        <v>L000000E</v>
      </c>
      <c r="BB11" t="str">
        <f ca="1"/>
        <v>FAB LABS</v>
      </c>
      <c r="BC11" t="str">
        <f ca="1"/>
        <v>L01 FAB LAB 05</v>
      </c>
      <c r="BD11">
        <f ca="1"/>
        <v>0.1</v>
      </c>
      <c r="BE11" t="str">
        <f ca="1"/>
        <v>PASS</v>
      </c>
      <c r="BF11">
        <f ca="1"/>
        <v>1</v>
      </c>
      <c r="BG11" t="str">
        <f ca="1"/>
        <v>PASS</v>
      </c>
      <c r="BH11">
        <f ca="1"/>
        <v>1</v>
      </c>
      <c r="BI11" t="str">
        <f ca="1"/>
        <v>PASS</v>
      </c>
      <c r="BJ11" t="str">
        <f ca="1"/>
        <v>PASS</v>
      </c>
      <c r="BK11">
        <f ca="1"/>
        <v>30.6</v>
      </c>
      <c r="BM11" s="12" t="str">
        <f ca="1"/>
        <v>L000000E</v>
      </c>
      <c r="BN11" s="13" t="str">
        <f ca="1"/>
        <v>FAB LABS PASS</v>
      </c>
      <c r="BQ11" t="str">
        <f ca="1"/>
        <v>L000000E</v>
      </c>
      <c r="BR11" t="str">
        <f ca="1"/>
        <v>FAB LABS</v>
      </c>
      <c r="BS11" t="str">
        <f ca="1"/>
        <v>L01 FAB LAB 05</v>
      </c>
      <c r="BT11">
        <f ca="1"/>
        <v>0.2</v>
      </c>
      <c r="BU11" t="str">
        <f ca="1"/>
        <v>PASS</v>
      </c>
      <c r="BV11">
        <f ca="1"/>
        <v>3</v>
      </c>
      <c r="BW11" t="str">
        <f ca="1"/>
        <v>PASS</v>
      </c>
      <c r="BX11">
        <f ca="1"/>
        <v>1</v>
      </c>
      <c r="BY11" t="str">
        <f ca="1"/>
        <v>PASS</v>
      </c>
      <c r="BZ11" t="str">
        <f ca="1"/>
        <v>PASS</v>
      </c>
      <c r="CA11">
        <f ca="1"/>
        <v>31.3</v>
      </c>
      <c r="CC11" s="12" t="str">
        <f ca="1"/>
        <v>L000000E</v>
      </c>
      <c r="CD11" s="13" t="str">
        <f ca="1"/>
        <v>FAB LABS PASS</v>
      </c>
      <c r="CG11" t="str">
        <f ca="1"/>
        <v>L000000E</v>
      </c>
      <c r="CH11" t="str">
        <f ca="1"/>
        <v>FAB LABS</v>
      </c>
      <c r="CI11" t="str">
        <f ca="1"/>
        <v>L01 FAB LAB 05</v>
      </c>
      <c r="CJ11">
        <f ca="1"/>
        <v>0</v>
      </c>
      <c r="CK11" t="str">
        <f ca="1"/>
        <v>PASS</v>
      </c>
      <c r="CL11">
        <f ca="1"/>
        <v>0</v>
      </c>
      <c r="CM11" t="str">
        <f ca="1"/>
        <v>PASS</v>
      </c>
      <c r="CN11">
        <f ca="1"/>
        <v>0</v>
      </c>
      <c r="CO11" t="str">
        <f ca="1"/>
        <v>PASS</v>
      </c>
      <c r="CP11" t="str">
        <f ca="1"/>
        <v>PASS</v>
      </c>
      <c r="CQ11">
        <f ca="1"/>
        <v>30.9</v>
      </c>
      <c r="CS11" s="12" t="str">
        <f ca="1"/>
        <v>L000000E</v>
      </c>
      <c r="CT11" s="13" t="str">
        <f ca="1"/>
        <v>FAB LABS PASS</v>
      </c>
    </row>
    <row r="12" spans="2:99" x14ac:dyDescent="0.25">
      <c r="B12" s="244" t="s">
        <v>23</v>
      </c>
      <c r="E12" t="str">
        <f ca="1"/>
        <v>L000002B</v>
      </c>
      <c r="F12" t="str">
        <f ca="1"/>
        <v>FAB LABS</v>
      </c>
      <c r="G12" t="str">
        <f ca="1"/>
        <v>L01 FAB LAB 06</v>
      </c>
      <c r="H12">
        <f ca="1"/>
        <v>0.6</v>
      </c>
      <c r="I12" t="str">
        <f ca="1"/>
        <v>PASS</v>
      </c>
      <c r="J12">
        <f ca="1"/>
        <v>4</v>
      </c>
      <c r="K12" t="str">
        <f ca="1"/>
        <v>PASS</v>
      </c>
      <c r="L12">
        <f ca="1"/>
        <v>2</v>
      </c>
      <c r="M12" t="str">
        <f ca="1"/>
        <v>PASS</v>
      </c>
      <c r="N12" t="str">
        <f ca="1"/>
        <v>PASS</v>
      </c>
      <c r="O12">
        <f ca="1"/>
        <v>30.6</v>
      </c>
      <c r="Q12" s="12" t="str">
        <f ca="1"/>
        <v>L000002B</v>
      </c>
      <c r="R12" s="13" t="str">
        <f ca="1"/>
        <v>FAB LABS PASS</v>
      </c>
      <c r="U12" t="str">
        <f ca="1"/>
        <v>L000002B</v>
      </c>
      <c r="V12" t="str">
        <f ca="1"/>
        <v>FAB LABS</v>
      </c>
      <c r="W12" t="str">
        <f ca="1"/>
        <v>L01 FAB LAB 06</v>
      </c>
      <c r="X12">
        <f ca="1"/>
        <v>1.2</v>
      </c>
      <c r="Y12" t="str">
        <f ca="1"/>
        <v>PASS</v>
      </c>
      <c r="Z12">
        <f ca="1"/>
        <v>6</v>
      </c>
      <c r="AA12" t="str">
        <f ca="1"/>
        <v>PASS</v>
      </c>
      <c r="AB12">
        <f ca="1"/>
        <v>2</v>
      </c>
      <c r="AC12" t="str">
        <f ca="1"/>
        <v>PASS</v>
      </c>
      <c r="AD12" t="str">
        <f ca="1"/>
        <v>PASS</v>
      </c>
      <c r="AE12">
        <f ca="1"/>
        <v>32</v>
      </c>
      <c r="AG12" s="12" t="str">
        <f ca="1"/>
        <v>L000002B</v>
      </c>
      <c r="AH12" s="13" t="str">
        <f ca="1"/>
        <v>FAB LABS PASS</v>
      </c>
      <c r="AK12" t="str">
        <f ca="1"/>
        <v>L000002B</v>
      </c>
      <c r="AL12" t="str">
        <f ca="1"/>
        <v>FAB LABS</v>
      </c>
      <c r="AM12" t="str">
        <f ca="1"/>
        <v>L01 FAB LAB 06</v>
      </c>
      <c r="AN12">
        <f ca="1"/>
        <v>1</v>
      </c>
      <c r="AO12" t="str">
        <f ca="1"/>
        <v>PASS</v>
      </c>
      <c r="AP12">
        <f ca="1"/>
        <v>2</v>
      </c>
      <c r="AQ12" t="str">
        <f ca="1"/>
        <v>PASS</v>
      </c>
      <c r="AR12">
        <f ca="1"/>
        <v>1</v>
      </c>
      <c r="AS12" t="str">
        <f ca="1"/>
        <v>PASS</v>
      </c>
      <c r="AT12" t="str">
        <f ca="1"/>
        <v>PASS</v>
      </c>
      <c r="AU12">
        <f ca="1"/>
        <v>31.1</v>
      </c>
      <c r="AW12" s="12" t="str">
        <f ca="1"/>
        <v>L000002B</v>
      </c>
      <c r="AX12" s="13" t="str">
        <f ca="1"/>
        <v>FAB LABS PASS</v>
      </c>
      <c r="BA12" t="str">
        <f ca="1"/>
        <v>L000002B</v>
      </c>
      <c r="BB12" t="str">
        <f ca="1"/>
        <v>FAB LABS</v>
      </c>
      <c r="BC12" t="str">
        <f ca="1"/>
        <v>L01 FAB LAB 06</v>
      </c>
      <c r="BD12">
        <f ca="1"/>
        <v>1.6</v>
      </c>
      <c r="BE12" t="str">
        <f ca="1"/>
        <v>PASS</v>
      </c>
      <c r="BF12">
        <f ca="1"/>
        <v>6</v>
      </c>
      <c r="BG12" t="str">
        <f ca="1"/>
        <v>PASS</v>
      </c>
      <c r="BH12">
        <f ca="1"/>
        <v>2</v>
      </c>
      <c r="BI12" t="str">
        <f ca="1"/>
        <v>PASS</v>
      </c>
      <c r="BJ12" t="str">
        <f ca="1"/>
        <v>PASS</v>
      </c>
      <c r="BK12">
        <f ca="1"/>
        <v>32</v>
      </c>
      <c r="BM12" s="12" t="str">
        <f ca="1"/>
        <v>L000002B</v>
      </c>
      <c r="BN12" s="13" t="str">
        <f ca="1"/>
        <v>FAB LABS PASS</v>
      </c>
      <c r="BQ12" t="str">
        <f ca="1"/>
        <v>L000002B</v>
      </c>
      <c r="BR12" t="str">
        <f ca="1"/>
        <v>FAB LABS</v>
      </c>
      <c r="BS12" t="str">
        <f ca="1"/>
        <v>L01 FAB LAB 06</v>
      </c>
      <c r="BT12">
        <f ca="1"/>
        <v>2</v>
      </c>
      <c r="BU12" t="str">
        <f ca="1"/>
        <v>PASS</v>
      </c>
      <c r="BV12">
        <f ca="1"/>
        <v>9</v>
      </c>
      <c r="BW12" t="str">
        <f ca="1"/>
        <v>FAIL</v>
      </c>
      <c r="BX12">
        <f ca="1"/>
        <v>3</v>
      </c>
      <c r="BY12" t="str">
        <f ca="1"/>
        <v>PASS</v>
      </c>
      <c r="BZ12" t="str">
        <f ca="1"/>
        <v>PASS</v>
      </c>
      <c r="CA12">
        <f ca="1"/>
        <v>33.1</v>
      </c>
      <c r="CC12" s="12" t="str">
        <f ca="1"/>
        <v>L000002B</v>
      </c>
      <c r="CD12" s="13" t="str">
        <f ca="1"/>
        <v>FAB LABS PASS</v>
      </c>
      <c r="CG12" t="str">
        <f ca="1"/>
        <v>L000002B</v>
      </c>
      <c r="CH12" t="str">
        <f ca="1"/>
        <v>FAB LABS</v>
      </c>
      <c r="CI12" t="str">
        <f ca="1"/>
        <v>L01 FAB LAB 06</v>
      </c>
      <c r="CJ12">
        <f ca="1"/>
        <v>2.4</v>
      </c>
      <c r="CK12" t="str">
        <f ca="1"/>
        <v>PASS</v>
      </c>
      <c r="CL12">
        <f ca="1"/>
        <v>4</v>
      </c>
      <c r="CM12" t="str">
        <f ca="1"/>
        <v>PASS</v>
      </c>
      <c r="CN12">
        <f ca="1"/>
        <v>2</v>
      </c>
      <c r="CO12" t="str">
        <f ca="1"/>
        <v>PASS</v>
      </c>
      <c r="CP12" t="str">
        <f ca="1"/>
        <v>PASS</v>
      </c>
      <c r="CQ12">
        <f ca="1"/>
        <v>32.200000000000003</v>
      </c>
      <c r="CS12" s="12" t="str">
        <f ca="1"/>
        <v>L000002B</v>
      </c>
      <c r="CT12" s="13" t="str">
        <f ca="1"/>
        <v>FAB LABS PASS</v>
      </c>
    </row>
    <row r="13" spans="2:99" x14ac:dyDescent="0.25">
      <c r="B13" s="231"/>
      <c r="E13" t="str">
        <f ca="1"/>
        <v>L0000044</v>
      </c>
      <c r="F13" t="str">
        <f ca="1"/>
        <v>FAB LABS</v>
      </c>
      <c r="G13" t="str">
        <f ca="1"/>
        <v>L01 FAB LAB 07</v>
      </c>
      <c r="H13">
        <f ca="1"/>
        <v>0.8</v>
      </c>
      <c r="I13" t="str">
        <f ca="1"/>
        <v>PASS</v>
      </c>
      <c r="J13">
        <f ca="1"/>
        <v>5</v>
      </c>
      <c r="K13" t="str">
        <f ca="1"/>
        <v>PASS</v>
      </c>
      <c r="L13">
        <f ca="1"/>
        <v>2</v>
      </c>
      <c r="M13" t="str">
        <f ca="1"/>
        <v>PASS</v>
      </c>
      <c r="N13" t="str">
        <f ca="1"/>
        <v>PASS</v>
      </c>
      <c r="O13">
        <f ca="1"/>
        <v>31</v>
      </c>
      <c r="Q13" s="12" t="str">
        <f ca="1"/>
        <v>L0000044</v>
      </c>
      <c r="R13" s="13" t="str">
        <f ca="1"/>
        <v>FAB LABS PASS</v>
      </c>
      <c r="U13" t="str">
        <f ca="1"/>
        <v>L0000044</v>
      </c>
      <c r="V13" t="str">
        <f ca="1"/>
        <v>FAB LABS</v>
      </c>
      <c r="W13" t="str">
        <f ca="1"/>
        <v>L01 FAB LAB 07</v>
      </c>
      <c r="X13">
        <f ca="1"/>
        <v>1.2</v>
      </c>
      <c r="Y13" t="str">
        <f ca="1"/>
        <v>PASS</v>
      </c>
      <c r="Z13">
        <f ca="1"/>
        <v>7</v>
      </c>
      <c r="AA13" t="str">
        <f ca="1"/>
        <v>FAIL</v>
      </c>
      <c r="AB13">
        <f ca="1"/>
        <v>2</v>
      </c>
      <c r="AC13" t="str">
        <f ca="1"/>
        <v>PASS</v>
      </c>
      <c r="AD13" t="str">
        <f ca="1"/>
        <v>PASS</v>
      </c>
      <c r="AE13">
        <f ca="1"/>
        <v>32.1</v>
      </c>
      <c r="AG13" s="12" t="str">
        <f ca="1"/>
        <v>L0000044</v>
      </c>
      <c r="AH13" s="13" t="str">
        <f ca="1"/>
        <v>FAB LABS PASS</v>
      </c>
      <c r="AK13" t="str">
        <f ca="1"/>
        <v>L0000044</v>
      </c>
      <c r="AL13" t="str">
        <f ca="1"/>
        <v>FAB LABS</v>
      </c>
      <c r="AM13" t="str">
        <f ca="1"/>
        <v>L01 FAB LAB 07</v>
      </c>
      <c r="AN13">
        <f ca="1"/>
        <v>1.8</v>
      </c>
      <c r="AO13" t="str">
        <f ca="1"/>
        <v>PASS</v>
      </c>
      <c r="AP13">
        <f ca="1"/>
        <v>4</v>
      </c>
      <c r="AQ13" t="str">
        <f ca="1"/>
        <v>PASS</v>
      </c>
      <c r="AR13">
        <f ca="1"/>
        <v>2</v>
      </c>
      <c r="AS13" t="str">
        <f ca="1"/>
        <v>PASS</v>
      </c>
      <c r="AT13" t="str">
        <f ca="1"/>
        <v>PASS</v>
      </c>
      <c r="AU13">
        <f ca="1"/>
        <v>31.6</v>
      </c>
      <c r="AW13" s="12" t="str">
        <f ca="1"/>
        <v>L0000044</v>
      </c>
      <c r="AX13" s="13" t="str">
        <f ca="1"/>
        <v>FAB LABS PASS</v>
      </c>
      <c r="BA13" t="str">
        <f ca="1"/>
        <v>L0000044</v>
      </c>
      <c r="BB13" t="str">
        <f ca="1"/>
        <v>FAB LABS</v>
      </c>
      <c r="BC13" t="str">
        <f ca="1"/>
        <v>L01 FAB LAB 07</v>
      </c>
      <c r="BD13">
        <f ca="1"/>
        <v>2.8</v>
      </c>
      <c r="BE13" t="str">
        <f ca="1"/>
        <v>PASS</v>
      </c>
      <c r="BF13">
        <f ca="1"/>
        <v>8</v>
      </c>
      <c r="BG13" t="str">
        <f ca="1"/>
        <v>FAIL</v>
      </c>
      <c r="BH13">
        <f ca="1"/>
        <v>3</v>
      </c>
      <c r="BI13" t="str">
        <f ca="1"/>
        <v>PASS</v>
      </c>
      <c r="BJ13" t="str">
        <f ca="1"/>
        <v>PASS</v>
      </c>
      <c r="BK13">
        <f ca="1"/>
        <v>32.4</v>
      </c>
      <c r="BM13" s="12" t="str">
        <f ca="1"/>
        <v>L0000044</v>
      </c>
      <c r="BN13" s="13" t="str">
        <f ca="1"/>
        <v>FAB LABS PASS</v>
      </c>
      <c r="BQ13" t="str">
        <f ca="1"/>
        <v>L0000044</v>
      </c>
      <c r="BR13" t="str">
        <f ca="1"/>
        <v>FAB LABS</v>
      </c>
      <c r="BS13" t="str">
        <f ca="1"/>
        <v>L01 FAB LAB 07</v>
      </c>
      <c r="BT13">
        <f ca="1"/>
        <v>2.4</v>
      </c>
      <c r="BU13" t="str">
        <f ca="1"/>
        <v>PASS</v>
      </c>
      <c r="BV13">
        <f ca="1"/>
        <v>11</v>
      </c>
      <c r="BW13" t="str">
        <f ca="1"/>
        <v>FAIL</v>
      </c>
      <c r="BX13">
        <f ca="1"/>
        <v>3</v>
      </c>
      <c r="BY13" t="str">
        <f ca="1"/>
        <v>PASS</v>
      </c>
      <c r="BZ13" t="str">
        <f ca="1"/>
        <v>PASS</v>
      </c>
      <c r="CA13">
        <f ca="1"/>
        <v>33.200000000000003</v>
      </c>
      <c r="CC13" s="12" t="str">
        <f ca="1"/>
        <v>L0000044</v>
      </c>
      <c r="CD13" s="13" t="str">
        <f ca="1"/>
        <v>FAB LABS PASS</v>
      </c>
      <c r="CG13" t="str">
        <f ca="1"/>
        <v>L0000044</v>
      </c>
      <c r="CH13" t="str">
        <f ca="1"/>
        <v>FAB LABS</v>
      </c>
      <c r="CI13" t="str">
        <f ca="1"/>
        <v>L01 FAB LAB 07</v>
      </c>
      <c r="CJ13">
        <f ca="1"/>
        <v>3</v>
      </c>
      <c r="CK13" t="str">
        <f ca="1"/>
        <v>FAIL</v>
      </c>
      <c r="CL13">
        <f ca="1"/>
        <v>6</v>
      </c>
      <c r="CM13" t="str">
        <f ca="1"/>
        <v>PASS</v>
      </c>
      <c r="CN13">
        <f ca="1"/>
        <v>2</v>
      </c>
      <c r="CO13" t="str">
        <f ca="1"/>
        <v>PASS</v>
      </c>
      <c r="CP13" t="str">
        <f ca="1"/>
        <v>PASS</v>
      </c>
      <c r="CQ13">
        <f ca="1"/>
        <v>32.700000000000003</v>
      </c>
      <c r="CS13" s="12" t="str">
        <f ca="1"/>
        <v>L0000044</v>
      </c>
      <c r="CT13" s="13" t="str">
        <f ca="1"/>
        <v>FAB LABS PASS</v>
      </c>
    </row>
    <row r="14" spans="2:99" x14ac:dyDescent="0.25">
      <c r="B14" s="231"/>
      <c r="E14" t="str">
        <f ca="1"/>
        <v>L0000045</v>
      </c>
      <c r="F14" t="str">
        <f ca="1"/>
        <v>FAB LABS</v>
      </c>
      <c r="G14" t="str">
        <f ca="1"/>
        <v>L01 FAB LAB 08</v>
      </c>
      <c r="H14">
        <f ca="1"/>
        <v>0.5</v>
      </c>
      <c r="I14" t="str">
        <f ca="1"/>
        <v>PASS</v>
      </c>
      <c r="J14">
        <f ca="1"/>
        <v>3</v>
      </c>
      <c r="K14" t="str">
        <f ca="1"/>
        <v>PASS</v>
      </c>
      <c r="L14">
        <f ca="1"/>
        <v>1</v>
      </c>
      <c r="M14" t="str">
        <f ca="1"/>
        <v>PASS</v>
      </c>
      <c r="N14" t="str">
        <f ca="1"/>
        <v>PASS</v>
      </c>
      <c r="O14">
        <f ca="1"/>
        <v>30.5</v>
      </c>
      <c r="Q14" s="12" t="str">
        <f ca="1"/>
        <v>L0000045</v>
      </c>
      <c r="R14" s="13" t="str">
        <f ca="1"/>
        <v>FAB LABS PASS</v>
      </c>
      <c r="U14" t="str">
        <f ca="1"/>
        <v>L0000045</v>
      </c>
      <c r="V14" t="str">
        <f ca="1"/>
        <v>FAB LABS</v>
      </c>
      <c r="W14" t="str">
        <f ca="1"/>
        <v>L01 FAB LAB 08</v>
      </c>
      <c r="X14">
        <f ca="1"/>
        <v>1.3</v>
      </c>
      <c r="Y14" t="str">
        <f ca="1"/>
        <v>PASS</v>
      </c>
      <c r="Z14">
        <f ca="1"/>
        <v>7</v>
      </c>
      <c r="AA14" t="str">
        <f ca="1"/>
        <v>FAIL</v>
      </c>
      <c r="AB14">
        <f ca="1"/>
        <v>2</v>
      </c>
      <c r="AC14" t="str">
        <f ca="1"/>
        <v>PASS</v>
      </c>
      <c r="AD14" t="str">
        <f ca="1"/>
        <v>PASS</v>
      </c>
      <c r="AE14">
        <f ca="1"/>
        <v>32.299999999999997</v>
      </c>
      <c r="AG14" s="12" t="str">
        <f ca="1"/>
        <v>L0000045</v>
      </c>
      <c r="AH14" s="13" t="str">
        <f ca="1"/>
        <v>FAB LABS PASS</v>
      </c>
      <c r="AK14" t="str">
        <f ca="1"/>
        <v>L0000045</v>
      </c>
      <c r="AL14" t="str">
        <f ca="1"/>
        <v>FAB LABS</v>
      </c>
      <c r="AM14" t="str">
        <f ca="1"/>
        <v>L01 FAB LAB 08</v>
      </c>
      <c r="AN14">
        <f ca="1"/>
        <v>1.2</v>
      </c>
      <c r="AO14" t="str">
        <f ca="1"/>
        <v>PASS</v>
      </c>
      <c r="AP14">
        <f ca="1"/>
        <v>3</v>
      </c>
      <c r="AQ14" t="str">
        <f ca="1"/>
        <v>PASS</v>
      </c>
      <c r="AR14">
        <f ca="1"/>
        <v>1</v>
      </c>
      <c r="AS14" t="str">
        <f ca="1"/>
        <v>PASS</v>
      </c>
      <c r="AT14" t="str">
        <f ca="1"/>
        <v>PASS</v>
      </c>
      <c r="AU14">
        <f ca="1"/>
        <v>31.2</v>
      </c>
      <c r="AW14" s="12" t="str">
        <f ca="1"/>
        <v>L0000045</v>
      </c>
      <c r="AX14" s="13" t="str">
        <f ca="1"/>
        <v>FAB LABS PASS</v>
      </c>
      <c r="BA14" t="str">
        <f ca="1"/>
        <v>L0000045</v>
      </c>
      <c r="BB14" t="str">
        <f ca="1"/>
        <v>FAB LABS</v>
      </c>
      <c r="BC14" t="str">
        <f ca="1"/>
        <v>L01 FAB LAB 08</v>
      </c>
      <c r="BD14">
        <f ca="1"/>
        <v>1.7</v>
      </c>
      <c r="BE14" t="str">
        <f ca="1"/>
        <v>PASS</v>
      </c>
      <c r="BF14">
        <f ca="1"/>
        <v>7</v>
      </c>
      <c r="BG14" t="str">
        <f ca="1"/>
        <v>FAIL</v>
      </c>
      <c r="BH14">
        <f ca="1"/>
        <v>2</v>
      </c>
      <c r="BI14" t="str">
        <f ca="1"/>
        <v>PASS</v>
      </c>
      <c r="BJ14" t="str">
        <f ca="1"/>
        <v>PASS</v>
      </c>
      <c r="BK14">
        <f ca="1"/>
        <v>31.9</v>
      </c>
      <c r="BM14" s="12" t="str">
        <f ca="1"/>
        <v>L0000045</v>
      </c>
      <c r="BN14" s="13" t="str">
        <f ca="1"/>
        <v>FAB LABS PASS</v>
      </c>
      <c r="BQ14" t="str">
        <f ca="1"/>
        <v>L0000045</v>
      </c>
      <c r="BR14" t="str">
        <f ca="1"/>
        <v>FAB LABS</v>
      </c>
      <c r="BS14" t="str">
        <f ca="1"/>
        <v>L01 FAB LAB 08</v>
      </c>
      <c r="BT14">
        <f ca="1"/>
        <v>2.2999999999999998</v>
      </c>
      <c r="BU14" t="str">
        <f ca="1"/>
        <v>PASS</v>
      </c>
      <c r="BV14">
        <f ca="1"/>
        <v>12</v>
      </c>
      <c r="BW14" t="str">
        <f ca="1"/>
        <v>FAIL</v>
      </c>
      <c r="BX14">
        <f ca="1"/>
        <v>3</v>
      </c>
      <c r="BY14" t="str">
        <f ca="1"/>
        <v>PASS</v>
      </c>
      <c r="BZ14" t="str">
        <f ca="1"/>
        <v>PASS</v>
      </c>
      <c r="CA14">
        <f ca="1"/>
        <v>33.299999999999997</v>
      </c>
      <c r="CC14" s="12" t="str">
        <f ca="1"/>
        <v>L0000045</v>
      </c>
      <c r="CD14" s="13" t="str">
        <f ca="1"/>
        <v>FAB LABS PASS</v>
      </c>
      <c r="CG14" t="str">
        <f ca="1"/>
        <v>L0000045</v>
      </c>
      <c r="CH14" t="str">
        <f ca="1"/>
        <v>FAB LABS</v>
      </c>
      <c r="CI14" t="str">
        <f ca="1"/>
        <v>L01 FAB LAB 08</v>
      </c>
      <c r="CJ14">
        <f ca="1"/>
        <v>2.7</v>
      </c>
      <c r="CK14" t="str">
        <f ca="1"/>
        <v>PASS</v>
      </c>
      <c r="CL14">
        <f ca="1"/>
        <v>5</v>
      </c>
      <c r="CM14" t="str">
        <f ca="1"/>
        <v>PASS</v>
      </c>
      <c r="CN14">
        <f ca="1"/>
        <v>2</v>
      </c>
      <c r="CO14" t="str">
        <f ca="1"/>
        <v>PASS</v>
      </c>
      <c r="CP14" t="str">
        <f ca="1"/>
        <v>PASS</v>
      </c>
      <c r="CQ14">
        <f ca="1"/>
        <v>32.299999999999997</v>
      </c>
      <c r="CS14" s="12" t="str">
        <f ca="1"/>
        <v>L0000045</v>
      </c>
      <c r="CT14" s="13" t="str">
        <f ca="1"/>
        <v>FAB LABS PASS</v>
      </c>
    </row>
    <row r="15" spans="2:99" x14ac:dyDescent="0.25">
      <c r="B15" s="231" t="s">
        <v>24</v>
      </c>
      <c r="E15" t="str">
        <f ca="1"/>
        <v>L0000009</v>
      </c>
      <c r="F15" t="str">
        <f ca="1"/>
        <v>FAB LABS</v>
      </c>
      <c r="G15" t="str">
        <f ca="1"/>
        <v>L01 FAB LAB 09</v>
      </c>
      <c r="H15">
        <f ca="1"/>
        <v>0.8</v>
      </c>
      <c r="I15" t="str">
        <f ca="1"/>
        <v>PASS</v>
      </c>
      <c r="J15">
        <f ca="1"/>
        <v>4</v>
      </c>
      <c r="K15" t="str">
        <f ca="1"/>
        <v>PASS</v>
      </c>
      <c r="L15">
        <f ca="1"/>
        <v>2</v>
      </c>
      <c r="M15" t="str">
        <f ca="1"/>
        <v>PASS</v>
      </c>
      <c r="N15" t="str">
        <f ca="1"/>
        <v>PASS</v>
      </c>
      <c r="O15">
        <f ca="1"/>
        <v>30.8</v>
      </c>
      <c r="Q15" s="12" t="str">
        <f ca="1"/>
        <v>L0000009</v>
      </c>
      <c r="R15" s="13" t="str">
        <f ca="1"/>
        <v>FAB LABS PASS</v>
      </c>
      <c r="U15" t="str">
        <f ca="1"/>
        <v>L0000009</v>
      </c>
      <c r="V15" t="str">
        <f ca="1"/>
        <v>FAB LABS</v>
      </c>
      <c r="W15" t="str">
        <f ca="1"/>
        <v>L01 FAB LAB 09</v>
      </c>
      <c r="X15">
        <f ca="1"/>
        <v>1.2</v>
      </c>
      <c r="Y15" t="str">
        <f ca="1"/>
        <v>PASS</v>
      </c>
      <c r="Z15">
        <f ca="1"/>
        <v>5</v>
      </c>
      <c r="AA15" t="str">
        <f ca="1"/>
        <v>PASS</v>
      </c>
      <c r="AB15">
        <f ca="1"/>
        <v>2</v>
      </c>
      <c r="AC15" t="str">
        <f ca="1"/>
        <v>PASS</v>
      </c>
      <c r="AD15" t="str">
        <f ca="1"/>
        <v>PASS</v>
      </c>
      <c r="AE15">
        <f ca="1"/>
        <v>31.9</v>
      </c>
      <c r="AG15" s="12" t="str">
        <f ca="1"/>
        <v>L0000009</v>
      </c>
      <c r="AH15" s="13" t="str">
        <f ca="1"/>
        <v>FAB LABS PASS</v>
      </c>
      <c r="AK15" t="str">
        <f ca="1"/>
        <v>L0000009</v>
      </c>
      <c r="AL15" t="str">
        <f ca="1"/>
        <v>FAB LABS</v>
      </c>
      <c r="AM15" t="str">
        <f ca="1"/>
        <v>L01 FAB LAB 09</v>
      </c>
      <c r="AN15">
        <f ca="1"/>
        <v>1.4</v>
      </c>
      <c r="AO15" t="str">
        <f ca="1"/>
        <v>PASS</v>
      </c>
      <c r="AP15">
        <f ca="1"/>
        <v>2</v>
      </c>
      <c r="AQ15" t="str">
        <f ca="1"/>
        <v>PASS</v>
      </c>
      <c r="AR15">
        <f ca="1"/>
        <v>1</v>
      </c>
      <c r="AS15" t="str">
        <f ca="1"/>
        <v>PASS</v>
      </c>
      <c r="AT15" t="str">
        <f ca="1"/>
        <v>PASS</v>
      </c>
      <c r="AU15">
        <f ca="1"/>
        <v>31.3</v>
      </c>
      <c r="AW15" s="12" t="str">
        <f ca="1"/>
        <v>L0000009</v>
      </c>
      <c r="AX15" s="13" t="str">
        <f ca="1"/>
        <v>FAB LABS PASS</v>
      </c>
      <c r="BA15" t="str">
        <f ca="1"/>
        <v>L0000009</v>
      </c>
      <c r="BB15" t="str">
        <f ca="1"/>
        <v>FAB LABS</v>
      </c>
      <c r="BC15" t="str">
        <f ca="1"/>
        <v>L01 FAB LAB 09</v>
      </c>
      <c r="BD15">
        <f ca="1"/>
        <v>3.1</v>
      </c>
      <c r="BE15" t="str">
        <f ca="1"/>
        <v>FAIL</v>
      </c>
      <c r="BF15">
        <f ca="1"/>
        <v>6</v>
      </c>
      <c r="BG15" t="str">
        <f ca="1"/>
        <v>PASS</v>
      </c>
      <c r="BH15">
        <f ca="1"/>
        <v>2</v>
      </c>
      <c r="BI15" t="str">
        <f ca="1"/>
        <v>PASS</v>
      </c>
      <c r="BJ15" t="str">
        <f ca="1"/>
        <v>PASS</v>
      </c>
      <c r="BK15">
        <f ca="1"/>
        <v>32.200000000000003</v>
      </c>
      <c r="BM15" s="12" t="str">
        <f ca="1"/>
        <v>L0000009</v>
      </c>
      <c r="BN15" s="13" t="str">
        <f ca="1"/>
        <v>FAB LABS PASS</v>
      </c>
      <c r="BQ15" t="str">
        <f ca="1"/>
        <v>L0000009</v>
      </c>
      <c r="BR15" t="str">
        <f ca="1"/>
        <v>FAB LABS</v>
      </c>
      <c r="BS15" t="str">
        <f ca="1"/>
        <v>L01 FAB LAB 09</v>
      </c>
      <c r="BT15">
        <f ca="1"/>
        <v>2.5</v>
      </c>
      <c r="BU15" t="str">
        <f ca="1"/>
        <v>PASS</v>
      </c>
      <c r="BV15">
        <f ca="1"/>
        <v>8</v>
      </c>
      <c r="BW15" t="str">
        <f ca="1"/>
        <v>FAIL</v>
      </c>
      <c r="BX15">
        <f ca="1"/>
        <v>3</v>
      </c>
      <c r="BY15" t="str">
        <f ca="1"/>
        <v>PASS</v>
      </c>
      <c r="BZ15" t="str">
        <f ca="1"/>
        <v>PASS</v>
      </c>
      <c r="CA15">
        <f ca="1"/>
        <v>32.9</v>
      </c>
      <c r="CC15" s="12" t="str">
        <f ca="1"/>
        <v>L0000009</v>
      </c>
      <c r="CD15" s="13" t="str">
        <f ca="1"/>
        <v>FAB LABS PASS</v>
      </c>
      <c r="CG15" t="str">
        <f ca="1"/>
        <v>L0000009</v>
      </c>
      <c r="CH15" t="str">
        <f ca="1"/>
        <v>FAB LABS</v>
      </c>
      <c r="CI15" t="str">
        <f ca="1"/>
        <v>L01 FAB LAB 09</v>
      </c>
      <c r="CJ15">
        <f ca="1"/>
        <v>3</v>
      </c>
      <c r="CK15" t="str">
        <f ca="1"/>
        <v>FAIL</v>
      </c>
      <c r="CL15">
        <f ca="1"/>
        <v>5</v>
      </c>
      <c r="CM15" t="str">
        <f ca="1"/>
        <v>PASS</v>
      </c>
      <c r="CN15">
        <f ca="1"/>
        <v>2</v>
      </c>
      <c r="CO15" t="str">
        <f ca="1"/>
        <v>PASS</v>
      </c>
      <c r="CP15" t="str">
        <f ca="1"/>
        <v>PASS</v>
      </c>
      <c r="CQ15">
        <f ca="1"/>
        <v>32.4</v>
      </c>
      <c r="CS15" s="12" t="str">
        <f ca="1"/>
        <v>L0000009</v>
      </c>
      <c r="CT15" s="13" t="str">
        <f ca="1"/>
        <v>FAB LABS PASS</v>
      </c>
    </row>
    <row r="16" spans="2:99" x14ac:dyDescent="0.25">
      <c r="B16" s="231"/>
    </row>
    <row r="17" spans="2:2" x14ac:dyDescent="0.25">
      <c r="B17" s="231"/>
    </row>
    <row r="18" spans="2:2" ht="14.45" customHeight="1" x14ac:dyDescent="0.25">
      <c r="B18" s="231"/>
    </row>
    <row r="19" spans="2:2" x14ac:dyDescent="0.25">
      <c r="B19" s="231"/>
    </row>
    <row r="20" spans="2:2" x14ac:dyDescent="0.25">
      <c r="B20" s="231"/>
    </row>
    <row r="21" spans="2:2" x14ac:dyDescent="0.25">
      <c r="B21" s="8"/>
    </row>
    <row r="22" spans="2:2" ht="15.75" thickBot="1" x14ac:dyDescent="0.3">
      <c r="B22" s="29" t="s">
        <v>22</v>
      </c>
    </row>
    <row r="23" spans="2:2" x14ac:dyDescent="0.25">
      <c r="B23" s="244" t="s">
        <v>25</v>
      </c>
    </row>
    <row r="24" spans="2:2" x14ac:dyDescent="0.25">
      <c r="B24" s="231"/>
    </row>
    <row r="25" spans="2:2" ht="15.75" thickBot="1" x14ac:dyDescent="0.3">
      <c r="B25" s="245"/>
    </row>
    <row r="27" spans="2:2" ht="14.45" customHeight="1" x14ac:dyDescent="0.25"/>
  </sheetData>
  <mergeCells count="11">
    <mergeCell ref="B23:B25"/>
    <mergeCell ref="B15:B20"/>
    <mergeCell ref="B3:B5"/>
    <mergeCell ref="B12:B14"/>
    <mergeCell ref="Q2:R2"/>
    <mergeCell ref="B6:B9"/>
    <mergeCell ref="AG2:AH2"/>
    <mergeCell ref="AW2:AX2"/>
    <mergeCell ref="BM2:BN2"/>
    <mergeCell ref="CC2:CD2"/>
    <mergeCell ref="CS2:CT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0289-C7C0-481D-82EE-C5D59EB11701}">
  <dimension ref="A1:R37"/>
  <sheetViews>
    <sheetView zoomScale="70" zoomScaleNormal="70" workbookViewId="0">
      <selection activeCell="J6" sqref="J6"/>
    </sheetView>
  </sheetViews>
  <sheetFormatPr defaultColWidth="8.85546875" defaultRowHeight="15" x14ac:dyDescent="0.25"/>
  <cols>
    <col min="1" max="1" width="25" style="9" bestFit="1" customWidth="1"/>
    <col min="2" max="2" width="10.42578125" style="9" customWidth="1"/>
    <col min="3" max="3" width="34.42578125" style="23" customWidth="1"/>
    <col min="4" max="4" width="10.42578125" style="9" customWidth="1"/>
    <col min="5" max="5" width="17.140625" style="9" bestFit="1" customWidth="1"/>
    <col min="6" max="8" width="27.140625" style="9" customWidth="1"/>
    <col min="9" max="9" width="23.140625" style="9" customWidth="1"/>
    <col min="10" max="10" width="23.140625" style="174" customWidth="1"/>
    <col min="11" max="18" width="27.140625" style="9" customWidth="1"/>
    <col min="19" max="16384" width="8.85546875" style="9"/>
  </cols>
  <sheetData>
    <row r="1" spans="1:18" ht="15.75" thickBot="1" x14ac:dyDescent="0.3"/>
    <row r="2" spans="1:18" ht="15.75" thickBot="1" x14ac:dyDescent="0.3">
      <c r="A2" s="18" t="s">
        <v>11</v>
      </c>
      <c r="C2" s="24" t="s">
        <v>15</v>
      </c>
      <c r="F2" s="145" t="s">
        <v>131</v>
      </c>
      <c r="G2" s="146"/>
      <c r="H2" s="146"/>
      <c r="I2" s="146"/>
      <c r="J2" s="178"/>
      <c r="K2" s="177" t="s">
        <v>126</v>
      </c>
      <c r="L2" s="21"/>
      <c r="M2" s="21"/>
      <c r="N2" s="22"/>
      <c r="O2" s="20" t="s">
        <v>126</v>
      </c>
      <c r="P2" s="21"/>
      <c r="Q2" s="21"/>
      <c r="R2" s="22"/>
    </row>
    <row r="3" spans="1:18" ht="14.45" customHeight="1" x14ac:dyDescent="0.25">
      <c r="A3" s="9" t="str" cm="1">
        <f t="array" aca="1" ref="A3" ca="1">_xlfn.UNIQUE(_xlfn.ANCHORARRAY('ID sheet'!C3))</f>
        <v>FAB LABS</v>
      </c>
      <c r="C3" s="250" t="s">
        <v>13</v>
      </c>
      <c r="I3" s="17"/>
      <c r="J3" s="175"/>
      <c r="K3" s="19" t="s">
        <v>160</v>
      </c>
      <c r="N3" s="17"/>
      <c r="O3" s="19" t="s">
        <v>107</v>
      </c>
      <c r="R3" s="17"/>
    </row>
    <row r="4" spans="1:18" x14ac:dyDescent="0.25">
      <c r="C4" s="250"/>
      <c r="E4" s="17" t="s">
        <v>12</v>
      </c>
      <c r="F4" s="17" t="s">
        <v>127</v>
      </c>
      <c r="G4" s="17" t="s">
        <v>128</v>
      </c>
      <c r="H4" s="17" t="s">
        <v>129</v>
      </c>
      <c r="I4" s="17" t="s">
        <v>130</v>
      </c>
      <c r="J4" s="175" t="s">
        <v>166</v>
      </c>
      <c r="K4" s="17" t="s">
        <v>127</v>
      </c>
      <c r="L4" s="17" t="s">
        <v>128</v>
      </c>
      <c r="M4" s="17" t="s">
        <v>129</v>
      </c>
      <c r="N4" s="17" t="s">
        <v>130</v>
      </c>
      <c r="O4" s="17" t="s">
        <v>127</v>
      </c>
      <c r="P4" s="17" t="s">
        <v>128</v>
      </c>
      <c r="Q4" s="17" t="s">
        <v>129</v>
      </c>
      <c r="R4" s="17" t="s">
        <v>130</v>
      </c>
    </row>
    <row r="5" spans="1:18" x14ac:dyDescent="0.25">
      <c r="C5" s="250"/>
      <c r="E5" s="38" t="str" cm="1">
        <f t="array" ref="E5:E10">TRANSPOSE(_xlfn.UNIQUE(_xlfn._xlws.FILTER('Output Sheet 1'!$1:$1,'Output Sheet 1'!$1:$1&lt;&gt;0),TRUE))</f>
        <v>DSY1 2020</v>
      </c>
      <c r="F5" s="9" t="str" cm="1">
        <f t="array" aca="1" ref="F5:F10" ca="1">(COUNTIFS(INDIRECT(("'Output Sheet 1'!"&amp;ADDRESS(7,MATCH(_xlfn.ANCHORARRAY($E5),'Output Sheet 1'!$2:$2,0)+3)&amp;"#")),"=PASS"))&amp;"/"&amp;(COUNTIFS(INDIRECT(("'Output Sheet 1'!"&amp;ADDRESS(7,MATCH(_xlfn.ANCHORARRAY($E5),'Output Sheet 1'!$2:$2,0))&amp;"#")),"&lt;&gt;0"))&amp;" ("&amp;100*ROUNDDOWN((COUNTIFS(INDIRECT(("'Output Sheet 1'!"&amp;ADDRESS(7,MATCH(_xlfn.ANCHORARRAY($E5),'Output Sheet 1'!$2:$2,0)+3)&amp;"#")),"=PASS"))/(COUNTIFS(INDIRECT(("'Output Sheet 1'!"&amp;ADDRESS(7,MATCH(_xlfn.ANCHORARRAY($E5),'Output Sheet 1'!$2:$2,0))&amp;"#")),"&lt;&gt;0")),2)&amp;"%)"</f>
        <v>9/9 (100%)</v>
      </c>
      <c r="G5" s="9" t="str" cm="1">
        <f t="array" aca="1" ref="G5:G10" ca="1">(COUNTIFS(INDIRECT(("'Output Sheet 1'!"&amp;ADDRESS(7,MATCH(_xlfn.ANCHORARRAY($E5),'Output Sheet 1'!$2:$2,0)+5)&amp;"#")),"=PASS"))&amp;"/"&amp;(COUNTIFS(INDIRECT(("'Output Sheet 1'!"&amp;ADDRESS(7,MATCH(_xlfn.ANCHORARRAY($E5),'Output Sheet 1'!$2:$2,0))&amp;"#")),"&lt;&gt;0"))&amp;" ("&amp;100*ROUNDDOWN((COUNTIFS(INDIRECT(("'Output Sheet 1'!"&amp;ADDRESS(7,MATCH(_xlfn.ANCHORARRAY($E5),'Output Sheet 1'!$2:$2,0)+5)&amp;"#")),"=PASS"))/(COUNTIFS(INDIRECT(("'Output Sheet 1'!"&amp;ADDRESS(7,MATCH(_xlfn.ANCHORARRAY($E5),'Output Sheet 1'!$2:$2,0))&amp;"#")),"&lt;&gt;0")),2)&amp;"%)"</f>
        <v>9/9 (100%)</v>
      </c>
      <c r="H5" s="9" t="str" cm="1">
        <f t="array" aca="1" ref="H5:H10" ca="1">(COUNTIFS(INDIRECT(("'Output Sheet 1'!"&amp;ADDRESS(7,MATCH(_xlfn.ANCHORARRAY($E5),'Output Sheet 1'!$2:$2,0)+7)&amp;"#")),"=PASS"))&amp;"/"&amp;(COUNTIFS(INDIRECT(("'Output Sheet 1'!"&amp;ADDRESS(7,MATCH(_xlfn.ANCHORARRAY($E5),'Output Sheet 1'!$2:$2,0))&amp;"#")),"&lt;&gt;0"))&amp;" ("&amp;100*ROUNDDOWN((COUNTIFS(INDIRECT(("'Output Sheet 1'!"&amp;ADDRESS(7,MATCH(_xlfn.ANCHORARRAY($E5),'Output Sheet 1'!$2:$2,0)+7)&amp;"#")),"=PASS"))/(COUNTIFS(INDIRECT(("'Output Sheet 1'!"&amp;ADDRESS(7,MATCH(_xlfn.ANCHORARRAY($E5),'Output Sheet 1'!$2:$2,0))&amp;"#")),"&lt;&gt;0")),2)&amp;"%)"</f>
        <v>9/9 (100%)</v>
      </c>
      <c r="I5" s="9" t="str" cm="1">
        <f t="array" aca="1" ref="I5:I10" ca="1">(COUNTIFS(INDIRECT(("'Output Sheet 1'!"&amp;ADDRESS(7,MATCH(_xlfn.ANCHORARRAY($E5),'Output Sheet 1'!$2:$2,0)+8)&amp;"#")),"=PASS"))&amp;"/"&amp;(COUNTIFS(INDIRECT(("'Output Sheet 1'!"&amp;ADDRESS(7,MATCH(_xlfn.ANCHORARRAY($E5),'Output Sheet 1'!$2:$2,0))&amp;"#")),"&lt;&gt;0"))&amp;" ("&amp;100*ROUNDDOWN((COUNTIFS(INDIRECT(("'Output Sheet 1'!"&amp;ADDRESS(7,MATCH(_xlfn.ANCHORARRAY($E5),'Output Sheet 1'!$2:$2,0)+8)&amp;"#")),"=PASS"))/(COUNTIFS(INDIRECT(("'Output Sheet 1'!"&amp;ADDRESS(7,MATCH(_xlfn.ANCHORARRAY($E5),'Output Sheet 1'!$2:$2,0))&amp;"#")),"&lt;&gt;0")),2)&amp;"%)"</f>
        <v>9/9 (100%)</v>
      </c>
      <c r="J5" s="174" t="str" cm="1">
        <f t="array" aca="1" ref="J5:J10" ca="1">INDEX('Output Sheet 1'!3:3,1,MATCH(_xlfn.ANCHORARRAY(E5),'Output Sheet 1'!1:1,0)+9)&amp;"˚C"</f>
        <v>31˚C</v>
      </c>
      <c r="K5" s="9" t="e" cm="1">
        <f t="array" aca="1" ref="K5:K10" ca="1">(COUNTIFS(INDIRECT(("'Output Sheet 1'!"&amp;ADDRESS(7,MATCH(_xlfn.ANCHORARRAY($E5),'Output Sheet 1'!$2:$2,0)+3)&amp;"#")),"=PASS",INDIRECT(("'Output Sheet 1'!"&amp;ADDRESS(7,MATCH(_xlfn.ANCHORARRAY($E5),'Output Sheet 1'!$2:$2,0))&amp;"#")),K3))&amp;"/"&amp;COUNTIFS(INDIRECT(("'Output Sheet 1'!"&amp;ADDRESS(7,MATCH(_xlfn.ANCHORARRAY($E5),'Output Sheet 1'!$2:$2,0))&amp;"#")),K3)&amp;" ("&amp;(ROUNDDOWN((COUNTIFS(INDIRECT(("'Output Sheet 1'!"&amp;ADDRESS(7,MATCH(_xlfn.ANCHORARRAY($E5),'Output Sheet 1'!$2:$2,0)+3)&amp;"#")),"=PASS",INDIRECT(("'Output Sheet 1'!"&amp;ADDRESS(7,MATCH(_xlfn.ANCHORARRAY($E5),'Output Sheet 1'!$2:$2,0))&amp;"#")),K3))/COUNTIFS(INDIRECT(("'Output Sheet 1'!"&amp;ADDRESS(7,MATCH(_xlfn.ANCHORARRAY($E5),'Output Sheet 1'!$2:$2,0))&amp;"#")),K3),2)*100)&amp;"%)"</f>
        <v>#DIV/0!</v>
      </c>
      <c r="L5" s="9" t="e" cm="1">
        <f t="array" aca="1" ref="L5:L10" ca="1">(COUNTIFS(INDIRECT(("'Output Sheet 1'!"&amp;ADDRESS(7,MATCH(_xlfn.ANCHORARRAY($E5),'Output Sheet 1'!$2:$2,0)+5)&amp;"#")),"=PASS",INDIRECT(("'Output Sheet 1'!"&amp;ADDRESS(7,MATCH(_xlfn.ANCHORARRAY($E5),'Output Sheet 1'!$2:$2,0))&amp;"#")),K3))&amp;"/"&amp;COUNTIFS(INDIRECT(("'Output Sheet 1'!"&amp;ADDRESS(7,MATCH(_xlfn.ANCHORARRAY($E5),'Output Sheet 1'!$2:$2,0))&amp;"#")),K3)&amp;" ("&amp;ROUNDDOWN((COUNTIFS(INDIRECT(("'Output Sheet 1'!"&amp;ADDRESS(7,MATCH(_xlfn.ANCHORARRAY($E5),'Output Sheet 1'!$2:$2,0)+5)&amp;"#")),"=PASS",INDIRECT(("'Output Sheet 1'!"&amp;ADDRESS(7,MATCH(_xlfn.ANCHORARRAY($E5),'Output Sheet 1'!$2:$2,0))&amp;"#")),K3))/COUNTIFS(INDIRECT(("'Output Sheet 1'!"&amp;ADDRESS(7,MATCH(_xlfn.ANCHORARRAY($E5),'Output Sheet 1'!$2:$2,0))&amp;"#")),K3),2)*100&amp;"%)"</f>
        <v>#DIV/0!</v>
      </c>
      <c r="M5" s="9" t="e" cm="1">
        <f t="array" aca="1" ref="M5:M10" ca="1">(COUNTIFS(INDIRECT(("'Output Sheet 1'!"&amp;ADDRESS(7,MATCH(_xlfn.ANCHORARRAY($E5),'Output Sheet 1'!$2:$2,0)+7)&amp;"#")),"=PASS",INDIRECT(("'Output Sheet 1'!"&amp;ADDRESS(7,MATCH(_xlfn.ANCHORARRAY($E5),'Output Sheet 1'!$2:$2,0))&amp;"#")),K3))&amp;"/"&amp;COUNTIFS(INDIRECT(("'Output Sheet 1'!"&amp;ADDRESS(7,MATCH(_xlfn.ANCHORARRAY($E5),'Output Sheet 1'!$2:$2,0))&amp;"#")),K3)&amp;" ("&amp;ROUNDDOWN((COUNTIFS(INDIRECT(("'Output Sheet 1'!"&amp;ADDRESS(7,MATCH(_xlfn.ANCHORARRAY($E5),'Output Sheet 1'!$2:$2,0)+7)&amp;"#")),"=PASS",INDIRECT(("'Output Sheet 1'!"&amp;ADDRESS(7,MATCH(_xlfn.ANCHORARRAY($E5),'Output Sheet 1'!$2:$2,0))&amp;"#")),K3))/COUNTIFS(INDIRECT(("'Output Sheet 1'!"&amp;ADDRESS(7,MATCH(_xlfn.ANCHORARRAY($E5),'Output Sheet 1'!$2:$2,0))&amp;"#")),K3),2)*100&amp;"%)"</f>
        <v>#DIV/0!</v>
      </c>
      <c r="N5" s="9" t="e" cm="1">
        <f t="array" aca="1" ref="N5:N10" ca="1">(COUNTIFS(INDIRECT(("'Output Sheet 1'!"&amp;ADDRESS(7,MATCH(_xlfn.ANCHORARRAY($E5),'Output Sheet 1'!$2:$2,0)+8)&amp;"#")),"=PASS",INDIRECT(("'Output Sheet 1'!"&amp;ADDRESS(7,MATCH(_xlfn.ANCHORARRAY($E5),'Output Sheet 1'!$2:$2,0))&amp;"#")),K3))&amp;"/"&amp;COUNTIFS(INDIRECT(("'Output Sheet 1'!"&amp;ADDRESS(7,MATCH(_xlfn.ANCHORARRAY($E5),'Output Sheet 1'!$2:$2,0))&amp;"#")),K3)&amp;" ("&amp;ROUNDDOWN((COUNTIFS(INDIRECT(("'Output Sheet 1'!"&amp;ADDRESS(7,MATCH(_xlfn.ANCHORARRAY($E5),'Output Sheet 1'!$2:$2,0)+8)&amp;"#")),"=PASS",INDIRECT(("'Output Sheet 1'!"&amp;ADDRESS(7,MATCH(_xlfn.ANCHORARRAY($E5),'Output Sheet 1'!$2:$2,0))&amp;"#")),K3))/COUNTIFS(INDIRECT(("'Output Sheet 1'!"&amp;ADDRESS(7,MATCH(_xlfn.ANCHORARRAY($E5),'Output Sheet 1'!$2:$2,0))&amp;"#")),K3),2)*100&amp;"%)"</f>
        <v>#DIV/0!</v>
      </c>
      <c r="O5" s="9" t="e" cm="1">
        <f t="array" aca="1" ref="O5:O10" ca="1">(COUNTIFS(INDIRECT(("'Output Sheet 1'!"&amp;ADDRESS(7,MATCH(_xlfn.ANCHORARRAY($E5),'Output Sheet 1'!$2:$2,0)+3)&amp;"#")),"=PASS",INDIRECT(("'Output Sheet 1'!"&amp;ADDRESS(7,MATCH(_xlfn.ANCHORARRAY($E5),'Output Sheet 1'!$2:$2,0))&amp;"#")),O3))&amp;"/"&amp;COUNTIFS(INDIRECT(("'Output Sheet 1'!"&amp;ADDRESS(7,MATCH(_xlfn.ANCHORARRAY($E5),'Output Sheet 1'!$2:$2,0))&amp;"#")),O3)&amp;" ("&amp;(ROUNDDOWN((COUNTIFS(INDIRECT(("'Output Sheet 1'!"&amp;ADDRESS(7,MATCH(_xlfn.ANCHORARRAY($E5),'Output Sheet 1'!$2:$2,0)+3)&amp;"#")),"=PASS",INDIRECT(("'Output Sheet 1'!"&amp;ADDRESS(7,MATCH(_xlfn.ANCHORARRAY($E5),'Output Sheet 1'!$2:$2,0))&amp;"#")),O3))/COUNTIFS(INDIRECT(("'Output Sheet 1'!"&amp;ADDRESS(7,MATCH(_xlfn.ANCHORARRAY($E5),'Output Sheet 1'!$2:$2,0))&amp;"#")),O3),2)*100)&amp;"%)"</f>
        <v>#DIV/0!</v>
      </c>
      <c r="P5" s="9" t="e" cm="1">
        <f t="array" aca="1" ref="P5:P10" ca="1">(COUNTIFS(INDIRECT(("'Output Sheet 1'!"&amp;ADDRESS(7,MATCH(_xlfn.ANCHORARRAY($E5),'Output Sheet 1'!$2:$2,0)+5)&amp;"#")),"=PASS",INDIRECT(("'Output Sheet 1'!"&amp;ADDRESS(7,MATCH(_xlfn.ANCHORARRAY($E5),'Output Sheet 1'!$2:$2,0))&amp;"#")),O3))&amp;"/"&amp;COUNTIFS(INDIRECT(("'Output Sheet 1'!"&amp;ADDRESS(7,MATCH(_xlfn.ANCHORARRAY($E5),'Output Sheet 1'!$2:$2,0))&amp;"#")),O3)&amp;" ("&amp;ROUNDDOWN((COUNTIFS(INDIRECT(("'Output Sheet 1'!"&amp;ADDRESS(7,MATCH(_xlfn.ANCHORARRAY($E5),'Output Sheet 1'!$2:$2,0)+5)&amp;"#")),"=PASS",INDIRECT(("'Output Sheet 1'!"&amp;ADDRESS(7,MATCH(_xlfn.ANCHORARRAY($E5),'Output Sheet 1'!$2:$2,0))&amp;"#")),O3))/COUNTIFS(INDIRECT(("'Output Sheet 1'!"&amp;ADDRESS(7,MATCH(_xlfn.ANCHORARRAY($E5),'Output Sheet 1'!$2:$2,0))&amp;"#")),O3),2)*100&amp;"%)"</f>
        <v>#DIV/0!</v>
      </c>
      <c r="Q5" s="9" t="e" cm="1">
        <f t="array" aca="1" ref="Q5:Q10" ca="1">(COUNTIFS(INDIRECT(("'Output Sheet 1'!"&amp;ADDRESS(7,MATCH(_xlfn.ANCHORARRAY($E5),'Output Sheet 1'!$2:$2,0)+7)&amp;"#")),"=PASS",INDIRECT(("'Output Sheet 1'!"&amp;ADDRESS(7,MATCH(_xlfn.ANCHORARRAY($E5),'Output Sheet 1'!$2:$2,0))&amp;"#")),O3))&amp;"/"&amp;COUNTIFS(INDIRECT(("'Output Sheet 1'!"&amp;ADDRESS(7,MATCH(_xlfn.ANCHORARRAY($E5),'Output Sheet 1'!$2:$2,0))&amp;"#")),O3)&amp;" ("&amp;ROUNDDOWN((COUNTIFS(INDIRECT(("'Output Sheet 1'!"&amp;ADDRESS(7,MATCH(_xlfn.ANCHORARRAY($E5),'Output Sheet 1'!$2:$2,0)+7)&amp;"#")),"=PASS",INDIRECT(("'Output Sheet 1'!"&amp;ADDRESS(7,MATCH(_xlfn.ANCHORARRAY($E5),'Output Sheet 1'!$2:$2,0))&amp;"#")),O3))/COUNTIFS(INDIRECT(("'Output Sheet 1'!"&amp;ADDRESS(7,MATCH(_xlfn.ANCHORARRAY($E5),'Output Sheet 1'!$2:$2,0))&amp;"#")),O3),2)*100&amp;"%)"</f>
        <v>#DIV/0!</v>
      </c>
      <c r="R5" s="9" t="e" cm="1">
        <f t="array" aca="1" ref="R5:R10" ca="1">(COUNTIFS(INDIRECT(("'Output Sheet 1'!"&amp;ADDRESS(7,MATCH(_xlfn.ANCHORARRAY($E5),'Output Sheet 1'!$2:$2,0)+8)&amp;"#")),"=PASS",INDIRECT(("'Output Sheet 1'!"&amp;ADDRESS(7,MATCH(_xlfn.ANCHORARRAY($E5),'Output Sheet 1'!$2:$2,0))&amp;"#")),O3))&amp;"/"&amp;COUNTIFS(INDIRECT(("'Output Sheet 1'!"&amp;ADDRESS(7,MATCH(_xlfn.ANCHORARRAY($E5),'Output Sheet 1'!$2:$2,0))&amp;"#")),O3)&amp;" ("&amp;ROUNDDOWN((COUNTIFS(INDIRECT(("'Output Sheet 1'!"&amp;ADDRESS(7,MATCH(_xlfn.ANCHORARRAY($E5),'Output Sheet 1'!$2:$2,0)+8)&amp;"#")),"=PASS",INDIRECT(("'Output Sheet 1'!"&amp;ADDRESS(7,MATCH(_xlfn.ANCHORARRAY($E5),'Output Sheet 1'!$2:$2,0))&amp;"#")),O3))/COUNTIFS(INDIRECT(("'Output Sheet 1'!"&amp;ADDRESS(7,MATCH(_xlfn.ANCHORARRAY($E5),'Output Sheet 1'!$2:$2,0))&amp;"#")),O3),2)*100&amp;"%)"</f>
        <v>#DIV/0!</v>
      </c>
    </row>
    <row r="6" spans="1:18" ht="14.45" customHeight="1" x14ac:dyDescent="0.25">
      <c r="C6" s="250" t="s">
        <v>14</v>
      </c>
      <c r="E6" s="38" t="str">
        <v>DSY2 2020</v>
      </c>
      <c r="F6" s="9" t="str">
        <f ca="1"/>
        <v>9/9 (100%)</v>
      </c>
      <c r="G6" s="9" t="str">
        <f ca="1"/>
        <v>7/9 (77%)</v>
      </c>
      <c r="H6" s="9" t="str">
        <f ca="1"/>
        <v>9/9 (100%)</v>
      </c>
      <c r="I6" s="9" t="str">
        <f ca="1"/>
        <v>9/9 (100%)</v>
      </c>
      <c r="J6" s="174" t="str">
        <f ca="1"/>
        <v>32.3˚C</v>
      </c>
      <c r="K6" s="9" t="e">
        <f ca="1"/>
        <v>#DIV/0!</v>
      </c>
      <c r="L6" s="9" t="e">
        <f ca="1"/>
        <v>#DIV/0!</v>
      </c>
      <c r="M6" s="9" t="e">
        <f ca="1"/>
        <v>#DIV/0!</v>
      </c>
      <c r="N6" s="9" t="e">
        <f ca="1"/>
        <v>#DIV/0!</v>
      </c>
      <c r="O6" s="9" t="e">
        <f ca="1"/>
        <v>#DIV/0!</v>
      </c>
      <c r="P6" s="9" t="e">
        <f ca="1"/>
        <v>#DIV/0!</v>
      </c>
      <c r="Q6" s="9" t="e">
        <f ca="1"/>
        <v>#DIV/0!</v>
      </c>
      <c r="R6" s="9" t="e">
        <f ca="1"/>
        <v>#DIV/0!</v>
      </c>
    </row>
    <row r="7" spans="1:18" x14ac:dyDescent="0.25">
      <c r="C7" s="250"/>
      <c r="E7" s="9" t="str">
        <v>DSY3 2020</v>
      </c>
      <c r="F7" s="9" t="str">
        <f ca="1"/>
        <v>9/9 (100%)</v>
      </c>
      <c r="G7" s="9" t="str">
        <f ca="1"/>
        <v>9/9 (100%)</v>
      </c>
      <c r="H7" s="9" t="str">
        <f ca="1"/>
        <v>9/9 (100%)</v>
      </c>
      <c r="I7" s="38" t="str">
        <f ca="1"/>
        <v>9/9 (100%)</v>
      </c>
      <c r="J7" s="176" t="str">
        <f ca="1"/>
        <v>31.6˚C</v>
      </c>
      <c r="K7" s="9" t="e">
        <f ca="1"/>
        <v>#DIV/0!</v>
      </c>
      <c r="L7" s="9" t="e">
        <f ca="1"/>
        <v>#DIV/0!</v>
      </c>
      <c r="M7" s="9" t="e">
        <f ca="1"/>
        <v>#DIV/0!</v>
      </c>
      <c r="N7" s="9" t="e">
        <f ca="1"/>
        <v>#DIV/0!</v>
      </c>
      <c r="O7" s="9" t="e">
        <f ca="1"/>
        <v>#DIV/0!</v>
      </c>
      <c r="P7" s="9" t="e">
        <f ca="1"/>
        <v>#DIV/0!</v>
      </c>
      <c r="Q7" s="9" t="e">
        <f ca="1"/>
        <v>#DIV/0!</v>
      </c>
      <c r="R7" s="9" t="e">
        <f ca="1"/>
        <v>#DIV/0!</v>
      </c>
    </row>
    <row r="8" spans="1:18" x14ac:dyDescent="0.25">
      <c r="C8" s="250"/>
      <c r="E8" s="9" t="str">
        <v>DSY1 2050</v>
      </c>
      <c r="F8" s="9" t="str">
        <f ca="1"/>
        <v>8/9 (88%)</v>
      </c>
      <c r="G8" s="9" t="str">
        <f ca="1"/>
        <v>7/9 (77%)</v>
      </c>
      <c r="H8" s="9" t="str">
        <f ca="1"/>
        <v>9/9 (100%)</v>
      </c>
      <c r="I8" s="9" t="str">
        <f ca="1"/>
        <v>9/9 (100%)</v>
      </c>
      <c r="J8" s="174" t="str">
        <f ca="1"/>
        <v>32.4˚C</v>
      </c>
      <c r="K8" s="9" t="e">
        <f ca="1"/>
        <v>#DIV/0!</v>
      </c>
      <c r="L8" s="9" t="e">
        <f ca="1"/>
        <v>#DIV/0!</v>
      </c>
      <c r="M8" s="9" t="e">
        <f ca="1"/>
        <v>#DIV/0!</v>
      </c>
      <c r="N8" s="9" t="e">
        <f ca="1"/>
        <v>#DIV/0!</v>
      </c>
      <c r="O8" s="9" t="e">
        <f ca="1"/>
        <v>#DIV/0!</v>
      </c>
      <c r="P8" s="9" t="e">
        <f ca="1"/>
        <v>#DIV/0!</v>
      </c>
      <c r="Q8" s="9" t="e">
        <f ca="1"/>
        <v>#DIV/0!</v>
      </c>
      <c r="R8" s="9" t="e">
        <f ca="1"/>
        <v>#DIV/0!</v>
      </c>
    </row>
    <row r="9" spans="1:18" x14ac:dyDescent="0.25">
      <c r="C9" s="250"/>
      <c r="E9" s="9" t="str">
        <v>DSY2 2050</v>
      </c>
      <c r="F9" s="9" t="str">
        <f ca="1"/>
        <v>9/9 (100%)</v>
      </c>
      <c r="G9" s="9" t="str">
        <f ca="1"/>
        <v>4/9 (44%)</v>
      </c>
      <c r="H9" s="9" t="str">
        <f ca="1"/>
        <v>9/9 (100%)</v>
      </c>
      <c r="I9" s="9" t="str">
        <f ca="1"/>
        <v>9/9 (100%)</v>
      </c>
      <c r="J9" s="174" t="str">
        <f ca="1"/>
        <v>33.3˚C</v>
      </c>
      <c r="K9" s="9" t="e">
        <f ca="1"/>
        <v>#DIV/0!</v>
      </c>
      <c r="L9" s="9" t="e">
        <f ca="1"/>
        <v>#DIV/0!</v>
      </c>
      <c r="M9" s="9" t="e">
        <f ca="1"/>
        <v>#DIV/0!</v>
      </c>
      <c r="N9" s="9" t="e">
        <f ca="1"/>
        <v>#DIV/0!</v>
      </c>
      <c r="O9" s="9" t="e">
        <f ca="1"/>
        <v>#DIV/0!</v>
      </c>
      <c r="P9" s="9" t="e">
        <f ca="1"/>
        <v>#DIV/0!</v>
      </c>
      <c r="Q9" s="9" t="e">
        <f ca="1"/>
        <v>#DIV/0!</v>
      </c>
      <c r="R9" s="9" t="e">
        <f ca="1"/>
        <v>#DIV/0!</v>
      </c>
    </row>
    <row r="10" spans="1:18" x14ac:dyDescent="0.25">
      <c r="C10" s="250" t="s">
        <v>16</v>
      </c>
      <c r="E10" s="9" t="str">
        <v>DSY3 2050</v>
      </c>
      <c r="F10" s="9" t="str">
        <f ca="1"/>
        <v>7/9 (77%)</v>
      </c>
      <c r="G10" s="9" t="str">
        <f ca="1"/>
        <v>9/9 (100%)</v>
      </c>
      <c r="H10" s="9" t="str">
        <f ca="1"/>
        <v>9/9 (100%)</v>
      </c>
      <c r="I10" s="9" t="str">
        <f ca="1"/>
        <v>9/9 (100%)</v>
      </c>
      <c r="J10" s="174" t="str">
        <f ca="1"/>
        <v>32.7˚C</v>
      </c>
      <c r="K10" s="9" t="e">
        <f ca="1"/>
        <v>#DIV/0!</v>
      </c>
      <c r="L10" s="9" t="e">
        <f ca="1"/>
        <v>#DIV/0!</v>
      </c>
      <c r="M10" s="9" t="e">
        <f ca="1"/>
        <v>#DIV/0!</v>
      </c>
      <c r="N10" s="9" t="e">
        <f ca="1"/>
        <v>#DIV/0!</v>
      </c>
      <c r="O10" s="9" t="e">
        <f ca="1"/>
        <v>#DIV/0!</v>
      </c>
      <c r="P10" s="9" t="e">
        <f ca="1"/>
        <v>#DIV/0!</v>
      </c>
      <c r="Q10" s="9" t="e">
        <f ca="1"/>
        <v>#DIV/0!</v>
      </c>
      <c r="R10" s="9" t="e">
        <f ca="1"/>
        <v>#DIV/0!</v>
      </c>
    </row>
    <row r="11" spans="1:18" x14ac:dyDescent="0.25">
      <c r="C11" s="250"/>
    </row>
    <row r="12" spans="1:18" ht="15.75" thickBot="1" x14ac:dyDescent="0.3">
      <c r="C12" s="25" t="s">
        <v>4</v>
      </c>
    </row>
    <row r="13" spans="1:18" ht="14.45" customHeight="1" x14ac:dyDescent="0.25">
      <c r="C13" s="246" t="s">
        <v>18</v>
      </c>
    </row>
    <row r="14" spans="1:18" x14ac:dyDescent="0.25">
      <c r="C14" s="247"/>
    </row>
    <row r="15" spans="1:18" x14ac:dyDescent="0.25">
      <c r="C15" s="247"/>
    </row>
    <row r="16" spans="1:18" x14ac:dyDescent="0.25">
      <c r="C16" s="247"/>
    </row>
    <row r="17" spans="3:10" x14ac:dyDescent="0.25">
      <c r="C17" s="247" t="s">
        <v>17</v>
      </c>
    </row>
    <row r="18" spans="3:10" x14ac:dyDescent="0.25">
      <c r="C18" s="247"/>
      <c r="I18" s="17"/>
      <c r="J18" s="175"/>
    </row>
    <row r="19" spans="3:10" x14ac:dyDescent="0.25">
      <c r="C19" s="247"/>
      <c r="E19" s="17"/>
    </row>
    <row r="20" spans="3:10" x14ac:dyDescent="0.25">
      <c r="C20" s="247"/>
      <c r="E20" s="17"/>
    </row>
    <row r="21" spans="3:10" x14ac:dyDescent="0.25">
      <c r="C21" s="247"/>
      <c r="E21" s="17"/>
    </row>
    <row r="22" spans="3:10" x14ac:dyDescent="0.25">
      <c r="C22" s="247"/>
    </row>
    <row r="23" spans="3:10" ht="14.45" customHeight="1" x14ac:dyDescent="0.25">
      <c r="C23" s="248" t="s">
        <v>19</v>
      </c>
    </row>
    <row r="24" spans="3:10" x14ac:dyDescent="0.25">
      <c r="C24" s="248"/>
    </row>
    <row r="25" spans="3:10" x14ac:dyDescent="0.25">
      <c r="C25" s="248"/>
    </row>
    <row r="26" spans="3:10" x14ac:dyDescent="0.25">
      <c r="C26" s="248"/>
    </row>
    <row r="27" spans="3:10" ht="15.75" thickBot="1" x14ac:dyDescent="0.3">
      <c r="C27" s="249"/>
    </row>
    <row r="35" spans="5:8" x14ac:dyDescent="0.25">
      <c r="E35" s="17"/>
      <c r="G35" s="17"/>
      <c r="H35" s="17"/>
    </row>
    <row r="36" spans="5:8" x14ac:dyDescent="0.25">
      <c r="E36" s="17"/>
    </row>
    <row r="37" spans="5:8" x14ac:dyDescent="0.25">
      <c r="E37" s="17"/>
    </row>
  </sheetData>
  <mergeCells count="6">
    <mergeCell ref="C13:C16"/>
    <mergeCell ref="C17:C22"/>
    <mergeCell ref="C23:C27"/>
    <mergeCell ref="C3:C5"/>
    <mergeCell ref="C10:C11"/>
    <mergeCell ref="C6:C9"/>
  </mergeCells>
  <dataValidations count="1">
    <dataValidation type="list" allowBlank="1" showInputMessage="1" showErrorMessage="1" sqref="K3 O3" xr:uid="{9E5FEF81-4007-4F14-8B87-25E48638279F}">
      <formula1>_xlfn.ANCHORARRAY($A$3)</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551A-39AF-4E0A-A948-16200A10E41F}">
  <dimension ref="B1:P48"/>
  <sheetViews>
    <sheetView zoomScale="70" zoomScaleNormal="70" workbookViewId="0">
      <selection activeCell="Z10" sqref="Z10"/>
    </sheetView>
  </sheetViews>
  <sheetFormatPr defaultRowHeight="15" x14ac:dyDescent="0.25"/>
  <cols>
    <col min="2" max="3" width="11.5703125" hidden="1" customWidth="1"/>
    <col min="4" max="4" width="25" hidden="1" customWidth="1"/>
    <col min="5" max="5" width="11.5703125" hidden="1" customWidth="1"/>
    <col min="6" max="6" width="15.140625" customWidth="1"/>
  </cols>
  <sheetData>
    <row r="1" spans="2:16" x14ac:dyDescent="0.25">
      <c r="B1" s="1" t="s">
        <v>139</v>
      </c>
      <c r="C1" s="1" t="s">
        <v>148</v>
      </c>
      <c r="D1" s="1" t="s">
        <v>146</v>
      </c>
      <c r="E1" s="1" t="s">
        <v>147</v>
      </c>
    </row>
    <row r="2" spans="2:16" ht="15.75" hidden="1" thickBot="1" x14ac:dyDescent="0.3">
      <c r="B2" s="147" t="str" cm="1">
        <f t="array" ref="B2:B7">TRANSPOSE(_xlfn.UNIQUE('Output Sheet 1'!1:1,TRUE,TRUE))</f>
        <v>DSY1 2020</v>
      </c>
      <c r="C2" s="147" t="str" cm="1">
        <f t="array" ref="C2:C5">_xlfn.UNIQUE(_xlfn.VSTACK(D1,_xlfn.TRIMRANGE(D:D)),,TRUE)</f>
        <v>Peak Operative Temperature</v>
      </c>
      <c r="D2" s="2" t="s">
        <v>143</v>
      </c>
      <c r="E2" s="2">
        <v>9</v>
      </c>
    </row>
    <row r="3" spans="2:16" ht="15.75" hidden="1" thickTop="1" x14ac:dyDescent="0.25">
      <c r="B3" t="str">
        <v>DSY2 2020</v>
      </c>
      <c r="C3" t="str">
        <v>Criterion I</v>
      </c>
      <c r="D3" t="s">
        <v>149</v>
      </c>
      <c r="E3">
        <v>2</v>
      </c>
    </row>
    <row r="4" spans="2:16" hidden="1" x14ac:dyDescent="0.25">
      <c r="B4" t="str">
        <v>DSY3 2020</v>
      </c>
      <c r="C4" t="str">
        <v>Criterion II</v>
      </c>
      <c r="D4" t="s">
        <v>150</v>
      </c>
      <c r="E4">
        <v>4</v>
      </c>
    </row>
    <row r="5" spans="2:16" hidden="1" x14ac:dyDescent="0.25">
      <c r="B5" t="str">
        <v>DSY1 2050</v>
      </c>
      <c r="C5" t="str">
        <v>Criterion III</v>
      </c>
      <c r="D5" t="s">
        <v>151</v>
      </c>
      <c r="E5">
        <v>6</v>
      </c>
    </row>
    <row r="6" spans="2:16" x14ac:dyDescent="0.25">
      <c r="B6" t="str">
        <v>DSY2 2050</v>
      </c>
      <c r="F6" t="s">
        <v>145</v>
      </c>
      <c r="G6" s="251" t="s">
        <v>143</v>
      </c>
      <c r="H6" s="252"/>
      <c r="I6" s="252"/>
    </row>
    <row r="7" spans="2:16" x14ac:dyDescent="0.25">
      <c r="B7" t="str">
        <v>DSY3 2050</v>
      </c>
    </row>
    <row r="8" spans="2:16" x14ac:dyDescent="0.25">
      <c r="F8" t="s">
        <v>141</v>
      </c>
      <c r="G8" s="2" t="s">
        <v>329</v>
      </c>
      <c r="H8" s="2" t="s">
        <v>330</v>
      </c>
      <c r="I8" s="2" t="s">
        <v>331</v>
      </c>
      <c r="J8" s="2" t="s">
        <v>332</v>
      </c>
      <c r="K8" s="2" t="s">
        <v>333</v>
      </c>
      <c r="L8" s="2" t="s">
        <v>165</v>
      </c>
      <c r="M8" s="2"/>
      <c r="N8" s="2"/>
      <c r="O8" s="2"/>
      <c r="P8" s="2"/>
    </row>
    <row r="9" spans="2:16" x14ac:dyDescent="0.25">
      <c r="F9" t="s">
        <v>142</v>
      </c>
      <c r="G9" s="2" t="s">
        <v>329</v>
      </c>
      <c r="H9" s="2" t="s">
        <v>330</v>
      </c>
      <c r="I9" s="2" t="s">
        <v>331</v>
      </c>
      <c r="J9" s="2" t="s">
        <v>332</v>
      </c>
      <c r="K9" s="2" t="s">
        <v>333</v>
      </c>
      <c r="L9" s="2" t="s">
        <v>165</v>
      </c>
      <c r="M9" s="2"/>
      <c r="N9" s="2"/>
      <c r="O9" s="2"/>
      <c r="P9" s="2"/>
    </row>
    <row r="10" spans="2:16" ht="269.10000000000002" customHeight="1" x14ac:dyDescent="0.25"/>
    <row r="11" spans="2:16" x14ac:dyDescent="0.25">
      <c r="G11" t="str" cm="1">
        <f t="array" ref="G11:L11">_xlfn.DROP(_xlfn.TRIMRANGE(F8:P8),,1)</f>
        <v>DSY1 2020</v>
      </c>
      <c r="H11" t="str">
        <v>DSY2 2020</v>
      </c>
      <c r="I11" t="str">
        <v>DSY3 2020</v>
      </c>
      <c r="J11" t="str">
        <v>DSY1 2050</v>
      </c>
      <c r="K11" t="str">
        <v>DSY2 2050</v>
      </c>
      <c r="L11" t="str">
        <v>DSY3 2050</v>
      </c>
    </row>
    <row r="12" spans="2:16" x14ac:dyDescent="0.25">
      <c r="G12" t="str" cm="1">
        <f t="array" ref="G12:L12">_xlfn.DROP(_xlfn.TRIMRANGE(F9:P9),,1)</f>
        <v>DSY1 2020</v>
      </c>
      <c r="H12" t="str">
        <v>DSY2 2020</v>
      </c>
      <c r="I12" t="str">
        <v>DSY3 2020</v>
      </c>
      <c r="J12" t="str">
        <v>DSY1 2050</v>
      </c>
      <c r="K12" t="str">
        <v>DSY2 2050</v>
      </c>
      <c r="L12" t="str">
        <v>DSY3 2050</v>
      </c>
    </row>
    <row r="13" spans="2:16" x14ac:dyDescent="0.25">
      <c r="F13" t="s">
        <v>153</v>
      </c>
      <c r="G13" cm="1">
        <f t="array" aca="1" ref="G13" ca="1">IFERROR(INDIRECT("'Output Sheet 1'!"&amp;ADDRESS(4,MATCH(Plots!G8,'Output Sheet 1'!1:1,0)+9)),0)</f>
        <v>34.6</v>
      </c>
      <c r="H13" cm="1">
        <f t="array" aca="1" ref="H13" ca="1">IFERROR(INDIRECT("'Output Sheet 1'!"&amp;ADDRESS(4,MATCH(Plots!H8,'Output Sheet 1'!1:1,0)+9)),0)</f>
        <v>38.6</v>
      </c>
      <c r="I13" cm="1">
        <f t="array" aca="1" ref="I13" ca="1">IFERROR(INDIRECT("'Output Sheet 1'!"&amp;ADDRESS(4,MATCH(Plots!I8,'Output Sheet 1'!1:1,0)+9)),0)</f>
        <v>35</v>
      </c>
      <c r="J13" cm="1">
        <f t="array" aca="1" ref="J13" ca="1">IFERROR(INDIRECT("'Output Sheet 1'!"&amp;ADDRESS(4,MATCH(Plots!J8,'Output Sheet 1'!1:1,0)+9)),0)</f>
        <v>36.4</v>
      </c>
      <c r="K13" cm="1">
        <f t="array" aca="1" ref="K13" ca="1">IFERROR(INDIRECT("'Output Sheet 1'!"&amp;ADDRESS(4,MATCH(Plots!K8,'Output Sheet 1'!1:1,0)+9)),0)</f>
        <v>39.9</v>
      </c>
      <c r="L13" cm="1">
        <f t="array" aca="1" ref="L13" ca="1">IFERROR(INDIRECT("'Output Sheet 1'!"&amp;ADDRESS(4,MATCH(Plots!L8,'Output Sheet 1'!1:1,0)+9)),0)</f>
        <v>36.299999999999997</v>
      </c>
      <c r="M13" cm="1">
        <f t="array" aca="1" ref="M13" ca="1">IFERROR(INDIRECT("'Output Sheet 1'!"&amp;ADDRESS(4,MATCH(Plots!M8,'Output Sheet 1'!1:1,0)+9)),0)</f>
        <v>0</v>
      </c>
      <c r="N13" cm="1">
        <f t="array" aca="1" ref="N13" ca="1">IFERROR(INDIRECT("'Output Sheet 1'!"&amp;ADDRESS(4,MATCH(Plots!N8,'Output Sheet 1'!1:1,0)+9)),0)</f>
        <v>0</v>
      </c>
      <c r="O13" cm="1">
        <f t="array" aca="1" ref="O13" ca="1">IFERROR(INDIRECT("'Output Sheet 1'!"&amp;ADDRESS(4,MATCH(Plots!O8,'Output Sheet 1'!1:1,0)+9)),0)</f>
        <v>0</v>
      </c>
      <c r="P13" cm="1">
        <f t="array" aca="1" ref="P13" ca="1">IFERROR(INDIRECT("'Output Sheet 1'!"&amp;ADDRESS(4,MATCH(Plots!P8,'Output Sheet 1'!1:1,0)+9)),0)</f>
        <v>0</v>
      </c>
    </row>
    <row r="14" spans="2:16" x14ac:dyDescent="0.25">
      <c r="F14" t="s">
        <v>149</v>
      </c>
      <c r="G14">
        <v>3</v>
      </c>
      <c r="H14">
        <v>3</v>
      </c>
      <c r="I14">
        <v>3</v>
      </c>
      <c r="J14">
        <v>3</v>
      </c>
      <c r="K14">
        <v>3</v>
      </c>
      <c r="L14">
        <v>3</v>
      </c>
      <c r="M14">
        <v>3</v>
      </c>
      <c r="N14">
        <v>3</v>
      </c>
      <c r="O14">
        <v>3</v>
      </c>
      <c r="P14">
        <v>3</v>
      </c>
    </row>
    <row r="15" spans="2:16" x14ac:dyDescent="0.25">
      <c r="F15" t="s">
        <v>150</v>
      </c>
      <c r="G15">
        <v>6</v>
      </c>
      <c r="H15">
        <v>6</v>
      </c>
      <c r="I15">
        <v>6</v>
      </c>
      <c r="J15">
        <v>6</v>
      </c>
      <c r="K15">
        <v>6</v>
      </c>
      <c r="L15">
        <v>6</v>
      </c>
      <c r="M15">
        <v>6</v>
      </c>
      <c r="N15">
        <v>6</v>
      </c>
      <c r="O15">
        <v>6</v>
      </c>
      <c r="P15">
        <v>6</v>
      </c>
    </row>
    <row r="16" spans="2:16" x14ac:dyDescent="0.25">
      <c r="F16" t="s">
        <v>151</v>
      </c>
      <c r="G16">
        <v>4</v>
      </c>
      <c r="H16">
        <v>4</v>
      </c>
      <c r="I16">
        <v>4</v>
      </c>
      <c r="J16">
        <v>4</v>
      </c>
      <c r="K16">
        <v>4</v>
      </c>
      <c r="L16">
        <v>4</v>
      </c>
      <c r="M16">
        <v>4</v>
      </c>
      <c r="N16">
        <v>4</v>
      </c>
      <c r="O16">
        <v>4</v>
      </c>
      <c r="P16">
        <v>4</v>
      </c>
    </row>
    <row r="18" spans="6:16" x14ac:dyDescent="0.25">
      <c r="F18" t="str">
        <f>IF(EXACT(G6,D2),F13,"Compliance Threshold")</f>
        <v>Peak Outdoor Air Temperature</v>
      </c>
      <c r="G18" cm="1">
        <f t="array" aca="1" ref="G18:L18" ca="1">OFFSET(_xlfn.ANCHORARRAY(G12),MATCH(G6,_xlfn.ANCHORARRAY(C2),0),0)</f>
        <v>34.6</v>
      </c>
      <c r="H18">
        <f ca="1"/>
        <v>38.6</v>
      </c>
      <c r="I18">
        <f ca="1"/>
        <v>35</v>
      </c>
      <c r="J18">
        <f ca="1"/>
        <v>36.4</v>
      </c>
      <c r="K18">
        <f ca="1"/>
        <v>39.9</v>
      </c>
      <c r="L18">
        <f ca="1"/>
        <v>36.299999999999997</v>
      </c>
    </row>
    <row r="20" spans="6:16" x14ac:dyDescent="0.25">
      <c r="F20" t="s">
        <v>144</v>
      </c>
      <c r="G20" t="str">
        <f>G6</f>
        <v>Peak Operative Temperature</v>
      </c>
    </row>
    <row r="21" spans="6:16" x14ac:dyDescent="0.25">
      <c r="F21">
        <v>1</v>
      </c>
      <c r="G21">
        <f ca="1">_xlfn.PERCENTILE.INC(_xlfn.ANCHORARRAY(G$40),$F21)</f>
        <v>31</v>
      </c>
      <c r="H21">
        <f t="shared" ref="H21:P21" ca="1" si="0">_xlfn.PERCENTILE.INC(_xlfn.ANCHORARRAY(H$40),$F21)</f>
        <v>32.299999999999997</v>
      </c>
      <c r="I21">
        <f t="shared" ca="1" si="0"/>
        <v>31.6</v>
      </c>
      <c r="J21">
        <f t="shared" ca="1" si="0"/>
        <v>32.4</v>
      </c>
      <c r="K21">
        <f t="shared" ca="1" si="0"/>
        <v>33.299999999999997</v>
      </c>
      <c r="L21">
        <f t="shared" ca="1" si="0"/>
        <v>32.700000000000003</v>
      </c>
      <c r="M21">
        <f t="shared" ca="1" si="0"/>
        <v>0</v>
      </c>
      <c r="N21">
        <f t="shared" ca="1" si="0"/>
        <v>0</v>
      </c>
      <c r="O21">
        <f t="shared" ca="1" si="0"/>
        <v>0</v>
      </c>
      <c r="P21">
        <f t="shared" ca="1" si="0"/>
        <v>0</v>
      </c>
    </row>
    <row r="22" spans="6:16" x14ac:dyDescent="0.25">
      <c r="F22">
        <v>0.75</v>
      </c>
      <c r="G22">
        <f t="shared" ref="G22:P25" ca="1" si="1">_xlfn.PERCENTILE.INC(_xlfn.ANCHORARRAY(G$40),$F22)</f>
        <v>30.6</v>
      </c>
      <c r="H22">
        <f t="shared" ca="1" si="1"/>
        <v>32</v>
      </c>
      <c r="I22">
        <f t="shared" ca="1" si="1"/>
        <v>31.2</v>
      </c>
      <c r="J22">
        <f t="shared" ca="1" si="1"/>
        <v>32</v>
      </c>
      <c r="K22">
        <f t="shared" ca="1" si="1"/>
        <v>33.1</v>
      </c>
      <c r="L22">
        <f t="shared" ca="1" si="1"/>
        <v>32.299999999999997</v>
      </c>
      <c r="M22">
        <f t="shared" ca="1" si="1"/>
        <v>0</v>
      </c>
      <c r="N22">
        <f t="shared" ca="1" si="1"/>
        <v>0</v>
      </c>
      <c r="O22">
        <f t="shared" ca="1" si="1"/>
        <v>0</v>
      </c>
      <c r="P22">
        <f t="shared" ca="1" si="1"/>
        <v>0</v>
      </c>
    </row>
    <row r="23" spans="6:16" x14ac:dyDescent="0.25">
      <c r="F23">
        <v>0.5</v>
      </c>
      <c r="G23">
        <f t="shared" ca="1" si="1"/>
        <v>29.7</v>
      </c>
      <c r="H23">
        <f t="shared" ca="1" si="1"/>
        <v>31.3</v>
      </c>
      <c r="I23">
        <f t="shared" ca="1" si="1"/>
        <v>30.5</v>
      </c>
      <c r="J23">
        <f t="shared" ca="1" si="1"/>
        <v>31.1</v>
      </c>
      <c r="K23">
        <f t="shared" ca="1" si="1"/>
        <v>32.299999999999997</v>
      </c>
      <c r="L23">
        <f t="shared" ca="1" si="1"/>
        <v>31.6</v>
      </c>
      <c r="M23">
        <f t="shared" ca="1" si="1"/>
        <v>0</v>
      </c>
      <c r="N23">
        <f t="shared" ca="1" si="1"/>
        <v>0</v>
      </c>
      <c r="O23">
        <f t="shared" ca="1" si="1"/>
        <v>0</v>
      </c>
      <c r="P23">
        <f t="shared" ca="1" si="1"/>
        <v>0</v>
      </c>
    </row>
    <row r="24" spans="6:16" x14ac:dyDescent="0.25">
      <c r="F24">
        <v>0.25</v>
      </c>
      <c r="G24">
        <f t="shared" ca="1" si="1"/>
        <v>29.6</v>
      </c>
      <c r="H24">
        <f t="shared" ca="1" si="1"/>
        <v>30.7</v>
      </c>
      <c r="I24">
        <f t="shared" ca="1" si="1"/>
        <v>30.4</v>
      </c>
      <c r="J24">
        <f t="shared" ca="1" si="1"/>
        <v>31</v>
      </c>
      <c r="K24">
        <f t="shared" ca="1" si="1"/>
        <v>31.7</v>
      </c>
      <c r="L24">
        <f t="shared" ca="1" si="1"/>
        <v>31.5</v>
      </c>
      <c r="M24">
        <f t="shared" ca="1" si="1"/>
        <v>0</v>
      </c>
      <c r="N24">
        <f t="shared" ca="1" si="1"/>
        <v>0</v>
      </c>
      <c r="O24">
        <f t="shared" ca="1" si="1"/>
        <v>0</v>
      </c>
      <c r="P24">
        <f t="shared" ca="1" si="1"/>
        <v>0</v>
      </c>
    </row>
    <row r="25" spans="6:16" x14ac:dyDescent="0.25">
      <c r="F25">
        <v>0</v>
      </c>
      <c r="G25">
        <f t="shared" ca="1" si="1"/>
        <v>29.2</v>
      </c>
      <c r="H25">
        <f t="shared" ca="1" si="1"/>
        <v>30.3</v>
      </c>
      <c r="I25">
        <f t="shared" ca="1" si="1"/>
        <v>29.8</v>
      </c>
      <c r="J25">
        <f t="shared" ca="1" si="1"/>
        <v>30.6</v>
      </c>
      <c r="K25">
        <f t="shared" ca="1" si="1"/>
        <v>31.3</v>
      </c>
      <c r="L25">
        <f t="shared" ca="1" si="1"/>
        <v>30.9</v>
      </c>
      <c r="M25">
        <f t="shared" ca="1" si="1"/>
        <v>0</v>
      </c>
      <c r="N25">
        <f t="shared" ca="1" si="1"/>
        <v>0</v>
      </c>
      <c r="O25">
        <f t="shared" ca="1" si="1"/>
        <v>0</v>
      </c>
      <c r="P25">
        <f t="shared" ca="1" si="1"/>
        <v>0</v>
      </c>
    </row>
    <row r="26" spans="6:16" x14ac:dyDescent="0.25">
      <c r="F26" t="s">
        <v>152</v>
      </c>
    </row>
    <row r="27" spans="6:16" x14ac:dyDescent="0.25">
      <c r="G27">
        <f ca="1">MAX(0.001,G21-G22)</f>
        <v>0.39999999999999858</v>
      </c>
      <c r="H27">
        <f t="shared" ref="H27:P27" ca="1" si="2">MAX(0.001,H21-H22)</f>
        <v>0.29999999999999716</v>
      </c>
      <c r="I27">
        <f t="shared" ca="1" si="2"/>
        <v>0.40000000000000213</v>
      </c>
      <c r="J27">
        <f t="shared" ca="1" si="2"/>
        <v>0.39999999999999858</v>
      </c>
      <c r="K27">
        <f t="shared" ca="1" si="2"/>
        <v>0.19999999999999574</v>
      </c>
      <c r="L27">
        <f t="shared" ca="1" si="2"/>
        <v>0.40000000000000568</v>
      </c>
      <c r="M27">
        <f t="shared" ca="1" si="2"/>
        <v>1E-3</v>
      </c>
      <c r="N27">
        <f t="shared" ca="1" si="2"/>
        <v>1E-3</v>
      </c>
      <c r="O27">
        <f t="shared" ca="1" si="2"/>
        <v>1E-3</v>
      </c>
      <c r="P27">
        <f t="shared" ca="1" si="2"/>
        <v>1E-3</v>
      </c>
    </row>
    <row r="28" spans="6:16" x14ac:dyDescent="0.25">
      <c r="G28">
        <f t="shared" ref="G28:P31" ca="1" si="3">MAX(0.001,G22-G23)</f>
        <v>0.90000000000000213</v>
      </c>
      <c r="H28">
        <f t="shared" ca="1" si="3"/>
        <v>0.69999999999999929</v>
      </c>
      <c r="I28">
        <f t="shared" ca="1" si="3"/>
        <v>0.69999999999999929</v>
      </c>
      <c r="J28">
        <f t="shared" ca="1" si="3"/>
        <v>0.89999999999999858</v>
      </c>
      <c r="K28">
        <f t="shared" ca="1" si="3"/>
        <v>0.80000000000000426</v>
      </c>
      <c r="L28">
        <f t="shared" ca="1" si="3"/>
        <v>0.69999999999999574</v>
      </c>
      <c r="M28">
        <f t="shared" ca="1" si="3"/>
        <v>1E-3</v>
      </c>
      <c r="N28">
        <f t="shared" ca="1" si="3"/>
        <v>1E-3</v>
      </c>
      <c r="O28">
        <f t="shared" ca="1" si="3"/>
        <v>1E-3</v>
      </c>
      <c r="P28">
        <f t="shared" ca="1" si="3"/>
        <v>1E-3</v>
      </c>
    </row>
    <row r="29" spans="6:16" x14ac:dyDescent="0.25">
      <c r="G29">
        <f t="shared" ca="1" si="3"/>
        <v>9.9999999999997868E-2</v>
      </c>
      <c r="H29">
        <f t="shared" ca="1" si="3"/>
        <v>0.60000000000000142</v>
      </c>
      <c r="I29">
        <f t="shared" ca="1" si="3"/>
        <v>0.10000000000000142</v>
      </c>
      <c r="J29">
        <f t="shared" ca="1" si="3"/>
        <v>0.10000000000000142</v>
      </c>
      <c r="K29">
        <f t="shared" ca="1" si="3"/>
        <v>0.59999999999999787</v>
      </c>
      <c r="L29">
        <f t="shared" ca="1" si="3"/>
        <v>0.10000000000000142</v>
      </c>
      <c r="M29">
        <f t="shared" ca="1" si="3"/>
        <v>1E-3</v>
      </c>
      <c r="N29">
        <f t="shared" ca="1" si="3"/>
        <v>1E-3</v>
      </c>
      <c r="O29">
        <f t="shared" ca="1" si="3"/>
        <v>1E-3</v>
      </c>
      <c r="P29">
        <f t="shared" ca="1" si="3"/>
        <v>1E-3</v>
      </c>
    </row>
    <row r="30" spans="6:16" x14ac:dyDescent="0.25">
      <c r="G30">
        <f t="shared" ca="1" si="3"/>
        <v>0.40000000000000213</v>
      </c>
      <c r="H30">
        <f t="shared" ca="1" si="3"/>
        <v>0.39999999999999858</v>
      </c>
      <c r="I30">
        <f t="shared" ca="1" si="3"/>
        <v>0.59999999999999787</v>
      </c>
      <c r="J30">
        <f t="shared" ca="1" si="3"/>
        <v>0.39999999999999858</v>
      </c>
      <c r="K30">
        <f t="shared" ca="1" si="3"/>
        <v>0.39999999999999858</v>
      </c>
      <c r="L30">
        <f t="shared" ca="1" si="3"/>
        <v>0.60000000000000142</v>
      </c>
      <c r="M30">
        <f t="shared" ca="1" si="3"/>
        <v>1E-3</v>
      </c>
      <c r="N30">
        <f t="shared" ca="1" si="3"/>
        <v>1E-3</v>
      </c>
      <c r="O30">
        <f t="shared" ca="1" si="3"/>
        <v>1E-3</v>
      </c>
      <c r="P30">
        <f t="shared" ca="1" si="3"/>
        <v>1E-3</v>
      </c>
    </row>
    <row r="31" spans="6:16" x14ac:dyDescent="0.25">
      <c r="G31">
        <f t="shared" ca="1" si="3"/>
        <v>29.2</v>
      </c>
      <c r="H31">
        <f t="shared" ca="1" si="3"/>
        <v>30.3</v>
      </c>
      <c r="I31">
        <f t="shared" ca="1" si="3"/>
        <v>29.8</v>
      </c>
      <c r="J31">
        <f t="shared" ca="1" si="3"/>
        <v>30.6</v>
      </c>
      <c r="K31">
        <f t="shared" ca="1" si="3"/>
        <v>31.3</v>
      </c>
      <c r="L31">
        <f t="shared" ca="1" si="3"/>
        <v>30.9</v>
      </c>
      <c r="M31">
        <f t="shared" ca="1" si="3"/>
        <v>1E-3</v>
      </c>
      <c r="N31">
        <f t="shared" ca="1" si="3"/>
        <v>1E-3</v>
      </c>
      <c r="O31">
        <f t="shared" ca="1" si="3"/>
        <v>1E-3</v>
      </c>
      <c r="P31">
        <f t="shared" ca="1" si="3"/>
        <v>1E-3</v>
      </c>
    </row>
    <row r="33" spans="6:16" x14ac:dyDescent="0.25">
      <c r="F33" t="s">
        <v>152</v>
      </c>
      <c r="G33" cm="1">
        <f t="array" aca="1" ref="G33:L33" ca="1">OFFSET(_xlfn.ANCHORARRAY($G$12),ROW(G27)-ROW($G$12),0)</f>
        <v>0.39999999999999858</v>
      </c>
      <c r="H33">
        <f ca="1"/>
        <v>0.29999999999999716</v>
      </c>
      <c r="I33">
        <f ca="1"/>
        <v>0.40000000000000213</v>
      </c>
      <c r="J33">
        <f ca="1"/>
        <v>0.39999999999999858</v>
      </c>
      <c r="K33">
        <f ca="1"/>
        <v>0.19999999999999574</v>
      </c>
      <c r="L33">
        <f ca="1"/>
        <v>0.40000000000000568</v>
      </c>
    </row>
    <row r="34" spans="6:16" x14ac:dyDescent="0.25">
      <c r="G34" cm="1">
        <f t="array" aca="1" ref="G34:L34" ca="1">OFFSET(_xlfn.ANCHORARRAY($G$12),ROW(G28)-ROW($G$12),0)</f>
        <v>0.90000000000000213</v>
      </c>
      <c r="H34">
        <f ca="1"/>
        <v>0.69999999999999929</v>
      </c>
      <c r="I34">
        <f ca="1"/>
        <v>0.69999999999999929</v>
      </c>
      <c r="J34">
        <f ca="1"/>
        <v>0.89999999999999858</v>
      </c>
      <c r="K34">
        <f ca="1"/>
        <v>0.80000000000000426</v>
      </c>
      <c r="L34">
        <f ca="1"/>
        <v>0.69999999999999574</v>
      </c>
    </row>
    <row r="35" spans="6:16" x14ac:dyDescent="0.25">
      <c r="G35" cm="1">
        <f t="array" aca="1" ref="G35:L35" ca="1">OFFSET(_xlfn.ANCHORARRAY($G$12),ROW(G29)-ROW($G$12),0)</f>
        <v>9.9999999999997868E-2</v>
      </c>
      <c r="H35">
        <f ca="1"/>
        <v>0.60000000000000142</v>
      </c>
      <c r="I35">
        <f ca="1"/>
        <v>0.10000000000000142</v>
      </c>
      <c r="J35">
        <f ca="1"/>
        <v>0.10000000000000142</v>
      </c>
      <c r="K35">
        <f ca="1"/>
        <v>0.59999999999999787</v>
      </c>
      <c r="L35">
        <f ca="1"/>
        <v>0.10000000000000142</v>
      </c>
    </row>
    <row r="36" spans="6:16" x14ac:dyDescent="0.25">
      <c r="G36" cm="1">
        <f t="array" aca="1" ref="G36:L36" ca="1">OFFSET(_xlfn.ANCHORARRAY($G$12),ROW(G30)-ROW($G$12),0)</f>
        <v>0.40000000000000213</v>
      </c>
      <c r="H36">
        <f ca="1"/>
        <v>0.39999999999999858</v>
      </c>
      <c r="I36">
        <f ca="1"/>
        <v>0.59999999999999787</v>
      </c>
      <c r="J36">
        <f ca="1"/>
        <v>0.39999999999999858</v>
      </c>
      <c r="K36">
        <f ca="1"/>
        <v>0.39999999999999858</v>
      </c>
      <c r="L36">
        <f ca="1"/>
        <v>0.60000000000000142</v>
      </c>
    </row>
    <row r="37" spans="6:16" x14ac:dyDescent="0.25">
      <c r="G37" cm="1">
        <f t="array" aca="1" ref="G37:L37" ca="1">OFFSET(_xlfn.ANCHORARRAY($G$12),ROW(G31)-ROW($G$12),0)</f>
        <v>29.2</v>
      </c>
      <c r="H37">
        <f ca="1"/>
        <v>30.3</v>
      </c>
      <c r="I37">
        <f ca="1"/>
        <v>29.8</v>
      </c>
      <c r="J37">
        <f ca="1"/>
        <v>30.6</v>
      </c>
      <c r="K37">
        <f ca="1"/>
        <v>31.3</v>
      </c>
      <c r="L37">
        <f ca="1"/>
        <v>30.9</v>
      </c>
    </row>
    <row r="39" spans="6:16" x14ac:dyDescent="0.25">
      <c r="G39" t="str">
        <f>G6</f>
        <v>Peak Operative Temperature</v>
      </c>
    </row>
    <row r="40" spans="6:16" x14ac:dyDescent="0.25">
      <c r="G40" cm="1">
        <f t="array" aca="1" ref="G40:G48" ca="1">IFERROR(INDIRECT("'Output Sheet 1'!"&amp;ADDRESS(7,MATCH(Plots!G8,'Output Sheet 1'!1:1,0)+VLOOKUP($G$6,$D:$E,2,FALSE))&amp;"#"),0)</f>
        <v>29.5</v>
      </c>
      <c r="H40" cm="1">
        <f t="array" aca="1" ref="H40:H48" ca="1">IFERROR(INDIRECT("'Output Sheet 1'!"&amp;ADDRESS(7,MATCH(Plots!H8,'Output Sheet 1'!1:1,0)+VLOOKUP($G$6,$D:$E,2,FALSE))&amp;"#"),0)</f>
        <v>30.7</v>
      </c>
      <c r="I40" cm="1">
        <f t="array" aca="1" ref="I40:I48" ca="1">IFERROR(INDIRECT("'Output Sheet 1'!"&amp;ADDRESS(7,MATCH(Plots!I8,'Output Sheet 1'!1:1,0)+VLOOKUP($G$6,$D:$E,2,FALSE))&amp;"#"),0)</f>
        <v>30.3</v>
      </c>
      <c r="J40" cm="1">
        <f t="array" aca="1" ref="J40:J48" ca="1">IFERROR(INDIRECT("'Output Sheet 1'!"&amp;ADDRESS(7,MATCH(Plots!J8,'Output Sheet 1'!1:1,0)+VLOOKUP($G$6,$D:$E,2,FALSE))&amp;"#"),0)</f>
        <v>30.9</v>
      </c>
      <c r="K40" cm="1">
        <f t="array" aca="1" ref="K40:K48" ca="1">IFERROR(INDIRECT("'Output Sheet 1'!"&amp;ADDRESS(7,MATCH(Plots!K8,'Output Sheet 1'!1:1,0)+VLOOKUP($G$6,$D:$E,2,FALSE))&amp;"#"),0)</f>
        <v>31.7</v>
      </c>
      <c r="L40" cm="1">
        <f t="array" aca="1" ref="L40:L48" ca="1">IFERROR(INDIRECT("'Output Sheet 1'!"&amp;ADDRESS(7,MATCH(Plots!L8,'Output Sheet 1'!1:1,0)+VLOOKUP($G$6,$D:$E,2,FALSE))&amp;"#"),0)</f>
        <v>31.4</v>
      </c>
      <c r="M40" cm="1">
        <f t="array" aca="1" ref="M40" ca="1">IFERROR(INDIRECT("'Output Sheet 1'!"&amp;ADDRESS(7,MATCH(Plots!M8,'Output Sheet 1'!1:1,0)+VLOOKUP($G$6,$D:$E,2,FALSE))&amp;"#"),0)</f>
        <v>0</v>
      </c>
      <c r="N40" cm="1">
        <f t="array" aca="1" ref="N40" ca="1">IFERROR(INDIRECT("'Output Sheet 1'!"&amp;ADDRESS(7,MATCH(Plots!N8,'Output Sheet 1'!1:1,0)+VLOOKUP($G$6,$D:$E,2,FALSE))&amp;"#"),0)</f>
        <v>0</v>
      </c>
      <c r="O40" cm="1">
        <f t="array" aca="1" ref="O40" ca="1">IFERROR(INDIRECT("'Output Sheet 1'!"&amp;ADDRESS(7,MATCH(Plots!O8,'Output Sheet 1'!1:1,0)+VLOOKUP($G$6,$D:$E,2,FALSE))&amp;"#"),0)</f>
        <v>0</v>
      </c>
      <c r="P40" cm="1">
        <f t="array" aca="1" ref="P40" ca="1">IFERROR(INDIRECT("'Output Sheet 1'!"&amp;ADDRESS(7,MATCH(Plots!P8,'Output Sheet 1'!1:1,0)+VLOOKUP($G$6,$D:$E,2,FALSE))&amp;"#"),0)</f>
        <v>0</v>
      </c>
    </row>
    <row r="41" spans="6:16" x14ac:dyDescent="0.25">
      <c r="G41">
        <f ca="1"/>
        <v>29.6</v>
      </c>
      <c r="H41">
        <f ca="1"/>
        <v>30.7</v>
      </c>
      <c r="I41">
        <f ca="1"/>
        <v>30.5</v>
      </c>
      <c r="J41">
        <f ca="1"/>
        <v>31</v>
      </c>
      <c r="K41">
        <f ca="1"/>
        <v>31.7</v>
      </c>
      <c r="L41">
        <f ca="1"/>
        <v>31.6</v>
      </c>
    </row>
    <row r="42" spans="6:16" x14ac:dyDescent="0.25">
      <c r="G42">
        <f ca="1"/>
        <v>29.6</v>
      </c>
      <c r="H42">
        <f ca="1"/>
        <v>31.3</v>
      </c>
      <c r="I42">
        <f ca="1"/>
        <v>30.5</v>
      </c>
      <c r="J42">
        <f ca="1"/>
        <v>31</v>
      </c>
      <c r="K42">
        <f ca="1"/>
        <v>32.299999999999997</v>
      </c>
      <c r="L42">
        <f ca="1"/>
        <v>31.6</v>
      </c>
    </row>
    <row r="43" spans="6:16" x14ac:dyDescent="0.25">
      <c r="G43">
        <f ca="1"/>
        <v>29.7</v>
      </c>
      <c r="H43">
        <f ca="1"/>
        <v>30.8</v>
      </c>
      <c r="I43">
        <f ca="1"/>
        <v>30.4</v>
      </c>
      <c r="J43">
        <f ca="1"/>
        <v>31.1</v>
      </c>
      <c r="K43">
        <f ca="1"/>
        <v>31.8</v>
      </c>
      <c r="L43">
        <f ca="1"/>
        <v>31.5</v>
      </c>
    </row>
    <row r="44" spans="6:16" x14ac:dyDescent="0.25">
      <c r="G44">
        <f ca="1"/>
        <v>29.2</v>
      </c>
      <c r="H44">
        <f ca="1"/>
        <v>30.3</v>
      </c>
      <c r="I44">
        <f ca="1"/>
        <v>29.8</v>
      </c>
      <c r="J44">
        <f ca="1"/>
        <v>30.6</v>
      </c>
      <c r="K44">
        <f ca="1"/>
        <v>31.3</v>
      </c>
      <c r="L44">
        <f ca="1"/>
        <v>30.9</v>
      </c>
    </row>
    <row r="45" spans="6:16" x14ac:dyDescent="0.25">
      <c r="G45">
        <f ca="1"/>
        <v>30.6</v>
      </c>
      <c r="H45">
        <f ca="1"/>
        <v>32</v>
      </c>
      <c r="I45">
        <f ca="1"/>
        <v>31.1</v>
      </c>
      <c r="J45">
        <f ca="1"/>
        <v>32</v>
      </c>
      <c r="K45">
        <f ca="1"/>
        <v>33.1</v>
      </c>
      <c r="L45">
        <f ca="1"/>
        <v>32.200000000000003</v>
      </c>
    </row>
    <row r="46" spans="6:16" x14ac:dyDescent="0.25">
      <c r="G46">
        <f ca="1"/>
        <v>31</v>
      </c>
      <c r="H46">
        <f ca="1"/>
        <v>32.1</v>
      </c>
      <c r="I46">
        <f ca="1"/>
        <v>31.6</v>
      </c>
      <c r="J46">
        <f ca="1"/>
        <v>32.4</v>
      </c>
      <c r="K46">
        <f ca="1"/>
        <v>33.200000000000003</v>
      </c>
      <c r="L46">
        <f ca="1"/>
        <v>32.700000000000003</v>
      </c>
    </row>
    <row r="47" spans="6:16" x14ac:dyDescent="0.25">
      <c r="G47">
        <f ca="1"/>
        <v>30.5</v>
      </c>
      <c r="H47">
        <f ca="1"/>
        <v>32.299999999999997</v>
      </c>
      <c r="I47">
        <f ca="1"/>
        <v>31.2</v>
      </c>
      <c r="J47">
        <f ca="1"/>
        <v>31.9</v>
      </c>
      <c r="K47">
        <f ca="1"/>
        <v>33.299999999999997</v>
      </c>
      <c r="L47">
        <f ca="1"/>
        <v>32.299999999999997</v>
      </c>
    </row>
    <row r="48" spans="6:16" x14ac:dyDescent="0.25">
      <c r="G48">
        <f ca="1"/>
        <v>30.8</v>
      </c>
      <c r="H48">
        <f ca="1"/>
        <v>31.9</v>
      </c>
      <c r="I48">
        <f ca="1"/>
        <v>31.3</v>
      </c>
      <c r="J48">
        <f ca="1"/>
        <v>32.200000000000003</v>
      </c>
      <c r="K48">
        <f ca="1"/>
        <v>32.9</v>
      </c>
      <c r="L48">
        <f ca="1"/>
        <v>32.4</v>
      </c>
    </row>
  </sheetData>
  <mergeCells count="1">
    <mergeCell ref="G6:I6"/>
  </mergeCells>
  <phoneticPr fontId="8" type="noConversion"/>
  <dataValidations count="2">
    <dataValidation type="list" allowBlank="1" showInputMessage="1" showErrorMessage="1" sqref="G8:P8" xr:uid="{88D5B917-F175-4A41-BFD3-2D02B3C7B0AF}">
      <formula1>_xlfn.ANCHORARRAY($B$2)</formula1>
    </dataValidation>
    <dataValidation type="list" allowBlank="1" showInputMessage="1" showErrorMessage="1" sqref="G6:I6" xr:uid="{FB95C802-5595-49FF-AADE-4090049AC521}">
      <formula1>_xlfn.ANCHORARRAY($C$2)</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5F89D-E66D-4347-9179-2AA76E82FC14}">
  <dimension ref="A1:L15"/>
  <sheetViews>
    <sheetView tabSelected="1" zoomScale="85" zoomScaleNormal="85" workbookViewId="0">
      <selection activeCell="C2" sqref="C2:D2"/>
    </sheetView>
  </sheetViews>
  <sheetFormatPr defaultColWidth="8.85546875" defaultRowHeight="13.5" x14ac:dyDescent="0.25"/>
  <cols>
    <col min="1" max="1" width="3.85546875" style="42" customWidth="1"/>
    <col min="2" max="2" width="8.85546875" style="42" hidden="1" customWidth="1"/>
    <col min="3" max="3" width="19" style="46" customWidth="1"/>
    <col min="4" max="12" width="19" style="44" customWidth="1"/>
    <col min="13" max="16384" width="8.85546875" style="42"/>
  </cols>
  <sheetData>
    <row r="1" spans="1:12" x14ac:dyDescent="0.25">
      <c r="B1" s="43" t="s">
        <v>57</v>
      </c>
    </row>
    <row r="2" spans="1:12" ht="24.6" customHeight="1" x14ac:dyDescent="0.45">
      <c r="A2" s="42" t="str">
        <f>""</f>
        <v/>
      </c>
      <c r="B2" s="42" t="str" cm="1">
        <f t="array" ref="B2:B7">TRANSPOSE((_xlfn.UNIQUE(_xlfn._xlws.FILTER('Output Sheet 1'!1:1,'Output Sheet 1'!1:1&lt;&gt;"",TRUE))))</f>
        <v>DSY1 2020</v>
      </c>
      <c r="C2" s="253" t="s">
        <v>329</v>
      </c>
      <c r="D2" s="253"/>
      <c r="E2" s="51"/>
      <c r="F2" s="51"/>
      <c r="I2" s="47"/>
    </row>
    <row r="3" spans="1:12" x14ac:dyDescent="0.25">
      <c r="A3" s="42" t="str">
        <f>""</f>
        <v/>
      </c>
      <c r="B3" s="42" t="str">
        <v>DSY2 2020</v>
      </c>
    </row>
    <row r="4" spans="1:12" x14ac:dyDescent="0.25">
      <c r="A4" s="42" t="str">
        <f>""</f>
        <v/>
      </c>
      <c r="B4" s="42" t="str">
        <v>DSY3 2020</v>
      </c>
      <c r="C4" s="49" t="str">
        <f>"TM52 results for all assessed spaces under the '"&amp;C2&amp;"' scenario."</f>
        <v>TM52 results for all assessed spaces under the 'DSY1 2020' scenario.</v>
      </c>
      <c r="D4" s="50"/>
      <c r="E4" s="50"/>
      <c r="F4" s="50"/>
      <c r="G4" s="50"/>
      <c r="H4" s="50"/>
      <c r="I4" s="50"/>
      <c r="J4" s="50"/>
      <c r="K4" s="50"/>
      <c r="L4" s="50"/>
    </row>
    <row r="5" spans="1:12" x14ac:dyDescent="0.25">
      <c r="A5" s="42" t="str">
        <f>""</f>
        <v/>
      </c>
      <c r="B5" s="42" t="str">
        <v>DSY1 2050</v>
      </c>
    </row>
    <row r="6" spans="1:12" ht="40.5" x14ac:dyDescent="0.25">
      <c r="A6" s="42" t="str">
        <f>""</f>
        <v/>
      </c>
      <c r="B6" s="42" t="str">
        <v>DSY2 2050</v>
      </c>
      <c r="C6" s="48" t="s">
        <v>52</v>
      </c>
      <c r="D6" s="45" t="s">
        <v>135</v>
      </c>
      <c r="E6" s="45" t="s">
        <v>136</v>
      </c>
      <c r="F6" s="45" t="s">
        <v>8</v>
      </c>
      <c r="G6" s="45" t="s">
        <v>137</v>
      </c>
      <c r="H6" s="45" t="s">
        <v>8</v>
      </c>
      <c r="I6" s="45" t="s">
        <v>138</v>
      </c>
      <c r="J6" s="45" t="s">
        <v>8</v>
      </c>
      <c r="K6" s="45" t="s">
        <v>124</v>
      </c>
      <c r="L6" s="45" t="s">
        <v>58</v>
      </c>
    </row>
    <row r="7" spans="1:12" x14ac:dyDescent="0.25">
      <c r="A7" s="42" t="str">
        <f>""</f>
        <v/>
      </c>
      <c r="B7" s="42" t="str">
        <v>DSY3 2050</v>
      </c>
      <c r="C7" s="46" t="str" cm="1">
        <f t="array" aca="1" ref="C7:C15" ca="1">_xlfn.ANCHORARRAY('ID sheet'!B3)</f>
        <v>L00 FAB LAB 01</v>
      </c>
      <c r="D7" s="44" t="str" cm="1">
        <f t="array" aca="1" ref="D7:D15" ca="1">"Category "&amp;ROMAN(_xlfn.ANCHORARRAY('ID sheet'!D3))</f>
        <v>Category II</v>
      </c>
      <c r="E7" s="44" cm="1">
        <f t="array" aca="1" ref="E7:E15" ca="1">INDIRECT("'Output Sheet 1'!"&amp;ADDRESS(7,MATCH(C2,'Output Sheet 1'!$2:$2,0)+2)&amp;"#")</f>
        <v>0</v>
      </c>
      <c r="F7" s="44" t="str" cm="1">
        <f t="array" aca="1" ref="F7:F15" ca="1">INDIRECT("'Output Sheet 1'!"&amp;ADDRESS(7,MATCH(C2,'Output Sheet 1'!$2:$2,0)+3)&amp;"#")</f>
        <v>PASS</v>
      </c>
      <c r="G7" s="44" cm="1">
        <f t="array" aca="1" ref="G7:G15" ca="1">INDIRECT("'Output Sheet 1'!"&amp;ADDRESS(7,MATCH(C2,'Output Sheet 1'!$2:$2,0)+4)&amp;"#")</f>
        <v>0</v>
      </c>
      <c r="H7" s="44" t="str" cm="1">
        <f t="array" aca="1" ref="H7:H15" ca="1">INDIRECT("'Output Sheet 1'!"&amp;ADDRESS(7,MATCH(C2,'Output Sheet 1'!$2:$2,0)+5)&amp;"#")</f>
        <v>PASS</v>
      </c>
      <c r="I7" s="44" cm="1">
        <f t="array" aca="1" ref="I7:I15" ca="1">INDIRECT("'Output Sheet 1'!"&amp;ADDRESS(7,MATCH(C2,'Output Sheet 1'!$2:$2,0)+6)&amp;"#")</f>
        <v>0</v>
      </c>
      <c r="J7" s="44" t="str" cm="1">
        <f t="array" aca="1" ref="J7:J15" ca="1">INDIRECT("'Output Sheet 1'!"&amp;ADDRESS(7,MATCH(C2,'Output Sheet 1'!$2:$2,0)+7)&amp;"#")</f>
        <v>PASS</v>
      </c>
      <c r="K7" s="44" t="str" cm="1">
        <f t="array" aca="1" ref="K7:K15" ca="1">INDIRECT("'Output Sheet 1'!"&amp;ADDRESS(7,MATCH(C2,'Output Sheet 1'!$2:$2,0)+8)&amp;"#")</f>
        <v>PASS</v>
      </c>
      <c r="L7" s="44" cm="1">
        <f t="array" aca="1" ref="L7:L15" ca="1">INDIRECT("'Output Sheet 1'!"&amp;ADDRESS(7,MATCH(C2,'Output Sheet 1'!$2:$2,0)+9)&amp;"#")</f>
        <v>29.5</v>
      </c>
    </row>
    <row r="8" spans="1:12" x14ac:dyDescent="0.25">
      <c r="A8" s="42" t="str">
        <f>""</f>
        <v/>
      </c>
      <c r="C8" s="46" t="str">
        <f ca="1"/>
        <v>L00 FAB LAB 02</v>
      </c>
      <c r="D8" s="44" t="str">
        <f ca="1"/>
        <v>Category II</v>
      </c>
      <c r="E8" s="44">
        <f ca="1"/>
        <v>0</v>
      </c>
      <c r="F8" s="44" t="str">
        <f ca="1"/>
        <v>PASS</v>
      </c>
      <c r="G8" s="44">
        <f ca="1"/>
        <v>0</v>
      </c>
      <c r="H8" s="44" t="str">
        <f ca="1"/>
        <v>PASS</v>
      </c>
      <c r="I8" s="44">
        <f ca="1"/>
        <v>0</v>
      </c>
      <c r="J8" s="44" t="str">
        <f ca="1"/>
        <v>PASS</v>
      </c>
      <c r="K8" s="44" t="str">
        <f ca="1"/>
        <v>PASS</v>
      </c>
      <c r="L8" s="44">
        <f ca="1"/>
        <v>29.6</v>
      </c>
    </row>
    <row r="9" spans="1:12" x14ac:dyDescent="0.25">
      <c r="A9" s="42" t="str">
        <f>""</f>
        <v/>
      </c>
      <c r="C9" s="46" t="str">
        <f ca="1"/>
        <v>L00 FAB LAB 03</v>
      </c>
      <c r="D9" s="44" t="str">
        <f ca="1"/>
        <v>Category II</v>
      </c>
      <c r="E9" s="44">
        <f ca="1"/>
        <v>0</v>
      </c>
      <c r="F9" s="44" t="str">
        <f ca="1"/>
        <v>PASS</v>
      </c>
      <c r="G9" s="44">
        <f ca="1"/>
        <v>0</v>
      </c>
      <c r="H9" s="44" t="str">
        <f ca="1"/>
        <v>PASS</v>
      </c>
      <c r="I9" s="44">
        <f ca="1"/>
        <v>0</v>
      </c>
      <c r="J9" s="44" t="str">
        <f ca="1"/>
        <v>PASS</v>
      </c>
      <c r="K9" s="44" t="str">
        <f ca="1"/>
        <v>PASS</v>
      </c>
      <c r="L9" s="44">
        <f ca="1"/>
        <v>29.6</v>
      </c>
    </row>
    <row r="10" spans="1:12" x14ac:dyDescent="0.25">
      <c r="A10" s="42" t="str">
        <f>""</f>
        <v/>
      </c>
      <c r="C10" s="46" t="str">
        <f ca="1"/>
        <v>L00 FAB LAB 04</v>
      </c>
      <c r="D10" s="44" t="str">
        <f ca="1"/>
        <v>Category II</v>
      </c>
      <c r="E10" s="44">
        <f ca="1"/>
        <v>0</v>
      </c>
      <c r="F10" s="44" t="str">
        <f ca="1"/>
        <v>PASS</v>
      </c>
      <c r="G10" s="44">
        <f ca="1"/>
        <v>0</v>
      </c>
      <c r="H10" s="44" t="str">
        <f ca="1"/>
        <v>PASS</v>
      </c>
      <c r="I10" s="44">
        <f ca="1"/>
        <v>0</v>
      </c>
      <c r="J10" s="44" t="str">
        <f ca="1"/>
        <v>PASS</v>
      </c>
      <c r="K10" s="44" t="str">
        <f ca="1"/>
        <v>PASS</v>
      </c>
      <c r="L10" s="44">
        <f ca="1"/>
        <v>29.7</v>
      </c>
    </row>
    <row r="11" spans="1:12" x14ac:dyDescent="0.25">
      <c r="C11" s="46" t="str">
        <f ca="1"/>
        <v>L01 FAB LAB 05</v>
      </c>
      <c r="D11" s="44" t="str">
        <f ca="1"/>
        <v>Category II</v>
      </c>
      <c r="E11" s="44">
        <f ca="1"/>
        <v>0</v>
      </c>
      <c r="F11" s="44" t="str">
        <f ca="1"/>
        <v>PASS</v>
      </c>
      <c r="G11" s="44">
        <f ca="1"/>
        <v>0</v>
      </c>
      <c r="H11" s="44" t="str">
        <f ca="1"/>
        <v>PASS</v>
      </c>
      <c r="I11" s="44">
        <f ca="1"/>
        <v>0</v>
      </c>
      <c r="J11" s="44" t="str">
        <f ca="1"/>
        <v>PASS</v>
      </c>
      <c r="K11" s="44" t="str">
        <f ca="1"/>
        <v>PASS</v>
      </c>
      <c r="L11" s="44">
        <f ca="1"/>
        <v>29.2</v>
      </c>
    </row>
    <row r="12" spans="1:12" x14ac:dyDescent="0.25">
      <c r="C12" s="46" t="str">
        <f ca="1"/>
        <v>L01 FAB LAB 06</v>
      </c>
      <c r="D12" s="44" t="str">
        <f ca="1"/>
        <v>Category II</v>
      </c>
      <c r="E12" s="44">
        <f ca="1"/>
        <v>0.6</v>
      </c>
      <c r="F12" s="44" t="str">
        <f ca="1"/>
        <v>PASS</v>
      </c>
      <c r="G12" s="44">
        <f ca="1"/>
        <v>4</v>
      </c>
      <c r="H12" s="44" t="str">
        <f ca="1"/>
        <v>PASS</v>
      </c>
      <c r="I12" s="44">
        <f ca="1"/>
        <v>2</v>
      </c>
      <c r="J12" s="44" t="str">
        <f ca="1"/>
        <v>PASS</v>
      </c>
      <c r="K12" s="44" t="str">
        <f ca="1"/>
        <v>PASS</v>
      </c>
      <c r="L12" s="44">
        <f ca="1"/>
        <v>30.6</v>
      </c>
    </row>
    <row r="13" spans="1:12" x14ac:dyDescent="0.25">
      <c r="C13" s="46" t="str">
        <f ca="1"/>
        <v>L01 FAB LAB 07</v>
      </c>
      <c r="D13" s="44" t="str">
        <f ca="1"/>
        <v>Category II</v>
      </c>
      <c r="E13" s="44">
        <f ca="1"/>
        <v>0.8</v>
      </c>
      <c r="F13" s="44" t="str">
        <f ca="1"/>
        <v>PASS</v>
      </c>
      <c r="G13" s="44">
        <f ca="1"/>
        <v>5</v>
      </c>
      <c r="H13" s="44" t="str">
        <f ca="1"/>
        <v>PASS</v>
      </c>
      <c r="I13" s="44">
        <f ca="1"/>
        <v>2</v>
      </c>
      <c r="J13" s="44" t="str">
        <f ca="1"/>
        <v>PASS</v>
      </c>
      <c r="K13" s="44" t="str">
        <f ca="1"/>
        <v>PASS</v>
      </c>
      <c r="L13" s="44">
        <f ca="1"/>
        <v>31</v>
      </c>
    </row>
    <row r="14" spans="1:12" x14ac:dyDescent="0.25">
      <c r="C14" s="46" t="str">
        <f ca="1"/>
        <v>L01 FAB LAB 08</v>
      </c>
      <c r="D14" s="44" t="str">
        <f ca="1"/>
        <v>Category II</v>
      </c>
      <c r="E14" s="44">
        <f ca="1"/>
        <v>0.5</v>
      </c>
      <c r="F14" s="44" t="str">
        <f ca="1"/>
        <v>PASS</v>
      </c>
      <c r="G14" s="44">
        <f ca="1"/>
        <v>3</v>
      </c>
      <c r="H14" s="44" t="str">
        <f ca="1"/>
        <v>PASS</v>
      </c>
      <c r="I14" s="44">
        <f ca="1"/>
        <v>1</v>
      </c>
      <c r="J14" s="44" t="str">
        <f ca="1"/>
        <v>PASS</v>
      </c>
      <c r="K14" s="44" t="str">
        <f ca="1"/>
        <v>PASS</v>
      </c>
      <c r="L14" s="44">
        <f ca="1"/>
        <v>30.5</v>
      </c>
    </row>
    <row r="15" spans="1:12" x14ac:dyDescent="0.25">
      <c r="C15" s="46" t="str">
        <f ca="1"/>
        <v>L01 FAB LAB 09</v>
      </c>
      <c r="D15" s="44" t="str">
        <f ca="1"/>
        <v>Category II</v>
      </c>
      <c r="E15" s="44">
        <f ca="1"/>
        <v>0.8</v>
      </c>
      <c r="F15" s="44" t="str">
        <f ca="1"/>
        <v>PASS</v>
      </c>
      <c r="G15" s="44">
        <f ca="1"/>
        <v>4</v>
      </c>
      <c r="H15" s="44" t="str">
        <f ca="1"/>
        <v>PASS</v>
      </c>
      <c r="I15" s="44">
        <f ca="1"/>
        <v>2</v>
      </c>
      <c r="J15" s="44" t="str">
        <f ca="1"/>
        <v>PASS</v>
      </c>
      <c r="K15" s="44" t="str">
        <f ca="1"/>
        <v>PASS</v>
      </c>
      <c r="L15" s="44">
        <f ca="1"/>
        <v>30.8</v>
      </c>
    </row>
  </sheetData>
  <mergeCells count="1">
    <mergeCell ref="C2:D2"/>
  </mergeCells>
  <conditionalFormatting sqref="A7:XFD8 A9:L9 N9:XFD9 A10:XFD12 A13:T13 V13:XFD13 A14:XFD30 A31:B31 M31:XFD31 A32:XFD1048576">
    <cfRule type="cellIs" dxfId="2" priority="15" operator="equal">
      <formula>"PASS"</formula>
    </cfRule>
    <cfRule type="cellIs" dxfId="1" priority="16" operator="equal">
      <formula>"FAIL"</formula>
    </cfRule>
    <cfRule type="notContainsBlanks" dxfId="0" priority="27">
      <formula>LEN(TRIM(A7))&gt;0</formula>
    </cfRule>
  </conditionalFormatting>
  <dataValidations count="1">
    <dataValidation type="list" allowBlank="1" showInputMessage="1" showErrorMessage="1" sqref="C2" xr:uid="{64927516-8A12-483E-9736-7301FAC7D4B2}">
      <formula1>_xlfn.ANCHORARRAY($B$2)</formula1>
    </dataValidation>
  </dataValidations>
  <pageMargins left="0.70866141732283472" right="0.70866141732283472" top="0.74803149606299213" bottom="0.74803149606299213" header="0.31496062992125984" footer="0.31496062992125984"/>
  <pageSetup paperSize="8" orientation="landscape" r:id="rId1"/>
  <headerFooter>
    <oddFooter>&amp;L&amp;G&amp;C&amp;F&amp;RPage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DC40-5E72-4963-8209-904D1D9DDBD9}">
  <dimension ref="A1:X66"/>
  <sheetViews>
    <sheetView workbookViewId="0">
      <selection activeCell="K19" sqref="K19"/>
    </sheetView>
  </sheetViews>
  <sheetFormatPr defaultRowHeight="15" x14ac:dyDescent="0.25"/>
  <cols>
    <col min="1" max="1" width="8" customWidth="1"/>
    <col min="2" max="2" width="11.140625" bestFit="1" customWidth="1"/>
    <col min="6" max="6" width="13.42578125" bestFit="1" customWidth="1"/>
    <col min="7" max="7" width="8.85546875" customWidth="1"/>
    <col min="8" max="9" width="8.85546875" hidden="1" customWidth="1"/>
    <col min="10" max="10" width="0" style="16" hidden="1" customWidth="1"/>
    <col min="11" max="11" width="11.85546875" bestFit="1" customWidth="1"/>
    <col min="12" max="12" width="17.140625" bestFit="1" customWidth="1"/>
    <col min="13" max="13" width="17.140625" hidden="1" customWidth="1"/>
    <col min="14" max="14" width="16.85546875" hidden="1" customWidth="1"/>
    <col min="15" max="15" width="0" hidden="1" customWidth="1"/>
    <col min="16" max="19" width="8.7109375" hidden="1" customWidth="1"/>
    <col min="20" max="20" width="0" hidden="1" customWidth="1"/>
    <col min="21" max="21" width="8.5703125" customWidth="1"/>
    <col min="22" max="22" width="11.85546875" style="12" customWidth="1"/>
    <col min="23" max="23" width="21" style="13" customWidth="1"/>
    <col min="24" max="24" width="21" customWidth="1"/>
  </cols>
  <sheetData>
    <row r="1" spans="1:24" x14ac:dyDescent="0.25">
      <c r="H1" t="str" cm="1">
        <f t="array" ref="H1:H6">TRANSPOSE((_xlfn.UNIQUE(_xlfn._xlws.FILTER('Output Sheet 1'!1:1,'Output Sheet 1'!1:1&lt;&gt;"",TRUE))))</f>
        <v>DSY1 2020</v>
      </c>
      <c r="V1" s="10"/>
      <c r="W1" s="11"/>
    </row>
    <row r="2" spans="1:24" ht="18" thickBot="1" x14ac:dyDescent="0.35">
      <c r="B2" s="268" t="s">
        <v>35</v>
      </c>
      <c r="C2" s="268"/>
      <c r="D2" s="268"/>
      <c r="E2" s="268"/>
      <c r="F2" s="268"/>
      <c r="H2" t="str">
        <v>DSY2 2020</v>
      </c>
      <c r="K2" t="s">
        <v>7</v>
      </c>
      <c r="L2" s="2" t="s">
        <v>140</v>
      </c>
      <c r="U2" s="35"/>
      <c r="V2" s="266" t="s">
        <v>159</v>
      </c>
      <c r="W2" s="267"/>
      <c r="X2" s="35"/>
    </row>
    <row r="3" spans="1:24" ht="15.75" thickTop="1" x14ac:dyDescent="0.25">
      <c r="H3" t="str">
        <v>DSY3 2020</v>
      </c>
    </row>
    <row r="4" spans="1:24" ht="15.75" thickBot="1" x14ac:dyDescent="0.3">
      <c r="B4" s="1" t="s">
        <v>36</v>
      </c>
      <c r="C4" s="1" t="s">
        <v>37</v>
      </c>
      <c r="D4" s="1" t="s">
        <v>38</v>
      </c>
      <c r="E4" s="1"/>
      <c r="F4" s="1" t="s">
        <v>39</v>
      </c>
      <c r="H4" t="str">
        <v>DSY1 2050</v>
      </c>
      <c r="V4" s="14" t="s">
        <v>1</v>
      </c>
      <c r="W4" s="15" t="s">
        <v>41</v>
      </c>
    </row>
    <row r="5" spans="1:24" x14ac:dyDescent="0.25">
      <c r="B5" s="148">
        <v>0</v>
      </c>
      <c r="C5" s="149">
        <v>200</v>
      </c>
      <c r="D5" s="150">
        <v>0</v>
      </c>
      <c r="E5" s="156"/>
      <c r="F5" s="150">
        <v>0</v>
      </c>
      <c r="H5" t="str">
        <v>DSY2 2050</v>
      </c>
      <c r="M5" s="1" t="s">
        <v>1</v>
      </c>
      <c r="N5" s="1" t="s">
        <v>0</v>
      </c>
      <c r="O5" t="s">
        <v>40</v>
      </c>
      <c r="P5" t="s">
        <v>36</v>
      </c>
      <c r="Q5" t="s">
        <v>37</v>
      </c>
      <c r="R5" t="s">
        <v>38</v>
      </c>
      <c r="S5" s="15" t="s">
        <v>41</v>
      </c>
      <c r="U5" s="1"/>
      <c r="V5" s="12" t="e" cm="1">
        <f t="array" aca="1" ref="V5" ca="1">_xlfn.ANCHORARRAY(M6)</f>
        <v>#N/A</v>
      </c>
      <c r="W5" s="13" t="e" cm="1">
        <f t="array" aca="1" ref="W5" ca="1">_xlfn.ANCHORARRAY(S6)</f>
        <v>#N/A</v>
      </c>
      <c r="X5" s="1"/>
    </row>
    <row r="6" spans="1:24" x14ac:dyDescent="0.25">
      <c r="A6" s="36" t="s">
        <v>42</v>
      </c>
      <c r="B6" s="151">
        <v>0</v>
      </c>
      <c r="C6" s="52">
        <v>230</v>
      </c>
      <c r="D6" s="152">
        <v>0</v>
      </c>
      <c r="E6" s="157"/>
      <c r="F6" s="152">
        <v>24</v>
      </c>
      <c r="H6" t="str">
        <v>DSY3 2050</v>
      </c>
      <c r="M6" t="e" cm="1">
        <f t="array" aca="1" ref="M6" ca="1">INDIRECT("'Output Sheet 1'!"&amp;ADDRESS(7,MATCH(L2,'Output Sheet 1'!2:2,0)-1)&amp;"#")</f>
        <v>#N/A</v>
      </c>
      <c r="N6" t="e" cm="1">
        <f t="array" aca="1" ref="N6" ca="1">INDIRECT("'Output Sheet 1'!"&amp;ADDRESS(7,MATCH(L2,'Output Sheet 1'!2:2,0)+1)&amp;"#")</f>
        <v>#N/A</v>
      </c>
      <c r="O6" t="e" cm="1">
        <f t="array" aca="1" ref="O6" ca="1">INDIRECT("'Output Sheet 1'!"&amp;ADDRESS(7,MATCH(L2,'Output Sheet 1'!2:2,0)+9)&amp;"#")</f>
        <v>#N/A</v>
      </c>
      <c r="P6" t="e" cm="1">
        <f t="array" aca="1" ref="P6" ca="1">INDEX($B:$D,MATCH(_xlfn.ANCHORARRAY(O6),$F:$F,1),1)</f>
        <v>#N/A</v>
      </c>
      <c r="Q6" t="e" cm="1">
        <f t="array" aca="1" ref="Q6" ca="1">INDEX($B:$D,MATCH(_xlfn.ANCHORARRAY(O6),$F:$F,1),2)</f>
        <v>#N/A</v>
      </c>
      <c r="R6" t="e" cm="1">
        <f t="array" aca="1" ref="R6" ca="1">INDEX($B:$D,MATCH(_xlfn.ANCHORARRAY(O6),$F:$F,1),3)</f>
        <v>#N/A</v>
      </c>
      <c r="S6" s="13" t="e" cm="1">
        <f t="array" aca="1" ref="S6" ca="1">"RGB"&amp;"("&amp;_xlfn.ANCHORARRAY(P6)&amp;","&amp;_xlfn.ANCHORARRAY(Q6)&amp;","&amp;_xlfn.ANCHORARRAY(R6)&amp;")"</f>
        <v>#N/A</v>
      </c>
    </row>
    <row r="7" spans="1:24" x14ac:dyDescent="0.25">
      <c r="A7" s="36" t="s">
        <v>42</v>
      </c>
      <c r="B7" s="151">
        <v>0</v>
      </c>
      <c r="C7" s="52">
        <v>255</v>
      </c>
      <c r="D7" s="152">
        <v>0</v>
      </c>
      <c r="E7" s="158"/>
      <c r="F7" s="152">
        <v>25</v>
      </c>
    </row>
    <row r="8" spans="1:24" x14ac:dyDescent="0.25">
      <c r="A8" s="36" t="s">
        <v>42</v>
      </c>
      <c r="B8" s="151">
        <v>100</v>
      </c>
      <c r="C8" s="52">
        <v>255</v>
      </c>
      <c r="D8" s="152">
        <v>0</v>
      </c>
      <c r="E8" s="159"/>
      <c r="F8" s="152">
        <v>26</v>
      </c>
    </row>
    <row r="9" spans="1:24" x14ac:dyDescent="0.25">
      <c r="A9" s="36" t="s">
        <v>42</v>
      </c>
      <c r="B9" s="151">
        <v>150</v>
      </c>
      <c r="C9" s="52">
        <v>255</v>
      </c>
      <c r="D9" s="152">
        <v>0</v>
      </c>
      <c r="E9" s="160"/>
      <c r="F9" s="152">
        <v>27</v>
      </c>
    </row>
    <row r="10" spans="1:24" x14ac:dyDescent="0.25">
      <c r="A10" s="36" t="s">
        <v>42</v>
      </c>
      <c r="B10" s="151">
        <v>200</v>
      </c>
      <c r="C10" s="52">
        <v>255</v>
      </c>
      <c r="D10" s="152">
        <v>0</v>
      </c>
      <c r="E10" s="161"/>
      <c r="F10" s="152">
        <v>28</v>
      </c>
    </row>
    <row r="11" spans="1:24" x14ac:dyDescent="0.25">
      <c r="A11" s="36" t="s">
        <v>42</v>
      </c>
      <c r="B11" s="151">
        <v>240</v>
      </c>
      <c r="C11" s="52">
        <v>255</v>
      </c>
      <c r="D11" s="152">
        <v>0</v>
      </c>
      <c r="E11" s="162"/>
      <c r="F11" s="152">
        <v>29</v>
      </c>
    </row>
    <row r="12" spans="1:24" x14ac:dyDescent="0.25">
      <c r="A12" s="36" t="s">
        <v>42</v>
      </c>
      <c r="B12" s="151">
        <v>255</v>
      </c>
      <c r="C12" s="52">
        <v>255</v>
      </c>
      <c r="D12" s="152">
        <v>0</v>
      </c>
      <c r="E12" s="163"/>
      <c r="F12" s="152">
        <v>30</v>
      </c>
    </row>
    <row r="13" spans="1:24" x14ac:dyDescent="0.25">
      <c r="A13" s="36" t="s">
        <v>42</v>
      </c>
      <c r="B13" s="151">
        <v>255</v>
      </c>
      <c r="C13" s="52">
        <v>240</v>
      </c>
      <c r="D13" s="152">
        <v>0</v>
      </c>
      <c r="E13" s="164"/>
      <c r="F13" s="152">
        <v>31</v>
      </c>
    </row>
    <row r="14" spans="1:24" x14ac:dyDescent="0.25">
      <c r="A14" s="36" t="s">
        <v>42</v>
      </c>
      <c r="B14" s="151">
        <v>255</v>
      </c>
      <c r="C14" s="52">
        <v>200</v>
      </c>
      <c r="D14" s="152">
        <v>0</v>
      </c>
      <c r="E14" s="165"/>
      <c r="F14" s="152">
        <v>32</v>
      </c>
    </row>
    <row r="15" spans="1:24" x14ac:dyDescent="0.25">
      <c r="A15" s="36" t="s">
        <v>42</v>
      </c>
      <c r="B15" s="151">
        <v>255</v>
      </c>
      <c r="C15" s="52">
        <v>150</v>
      </c>
      <c r="D15" s="152">
        <v>0</v>
      </c>
      <c r="E15" s="166"/>
      <c r="F15" s="152">
        <v>33</v>
      </c>
    </row>
    <row r="16" spans="1:24" x14ac:dyDescent="0.25">
      <c r="A16" s="36" t="s">
        <v>42</v>
      </c>
      <c r="B16" s="151">
        <v>255</v>
      </c>
      <c r="C16" s="52">
        <v>100</v>
      </c>
      <c r="D16" s="152">
        <v>0</v>
      </c>
      <c r="E16" s="167"/>
      <c r="F16" s="152">
        <v>34</v>
      </c>
    </row>
    <row r="17" spans="1:6" x14ac:dyDescent="0.25">
      <c r="A17" s="36" t="s">
        <v>42</v>
      </c>
      <c r="B17" s="151">
        <v>255</v>
      </c>
      <c r="C17" s="52">
        <v>0</v>
      </c>
      <c r="D17" s="152">
        <v>0</v>
      </c>
      <c r="E17" s="168"/>
      <c r="F17" s="152">
        <v>35</v>
      </c>
    </row>
    <row r="18" spans="1:6" x14ac:dyDescent="0.25">
      <c r="A18" s="36" t="s">
        <v>42</v>
      </c>
      <c r="B18" s="151">
        <v>230</v>
      </c>
      <c r="C18" s="52">
        <v>0</v>
      </c>
      <c r="D18" s="152">
        <v>0</v>
      </c>
      <c r="E18" s="169"/>
      <c r="F18" s="152">
        <v>36</v>
      </c>
    </row>
    <row r="19" spans="1:6" x14ac:dyDescent="0.25">
      <c r="A19" s="36" t="s">
        <v>42</v>
      </c>
      <c r="B19" s="151">
        <v>200</v>
      </c>
      <c r="C19" s="52">
        <v>0</v>
      </c>
      <c r="D19" s="152">
        <v>0</v>
      </c>
      <c r="E19" s="170"/>
      <c r="F19" s="152">
        <v>37</v>
      </c>
    </row>
    <row r="20" spans="1:6" x14ac:dyDescent="0.25">
      <c r="A20" s="36" t="s">
        <v>42</v>
      </c>
      <c r="B20" s="151">
        <v>175</v>
      </c>
      <c r="C20" s="52">
        <v>0</v>
      </c>
      <c r="D20" s="152">
        <v>0</v>
      </c>
      <c r="E20" s="171"/>
      <c r="F20" s="152">
        <v>38</v>
      </c>
    </row>
    <row r="21" spans="1:6" x14ac:dyDescent="0.25">
      <c r="A21" s="36" t="s">
        <v>42</v>
      </c>
      <c r="B21" s="151">
        <v>150</v>
      </c>
      <c r="C21" s="52">
        <v>0</v>
      </c>
      <c r="D21" s="152">
        <v>0</v>
      </c>
      <c r="E21" s="172"/>
      <c r="F21" s="152">
        <v>39</v>
      </c>
    </row>
    <row r="22" spans="1:6" ht="15.75" thickBot="1" x14ac:dyDescent="0.3">
      <c r="A22" s="36" t="s">
        <v>42</v>
      </c>
      <c r="B22" s="153">
        <v>125</v>
      </c>
      <c r="C22" s="154">
        <v>0</v>
      </c>
      <c r="D22" s="155">
        <v>0</v>
      </c>
      <c r="E22" s="173"/>
      <c r="F22" s="155">
        <v>40</v>
      </c>
    </row>
    <row r="24" spans="1:6" ht="15.75" thickBot="1" x14ac:dyDescent="0.3"/>
    <row r="25" spans="1:6" ht="15.75" thickBot="1" x14ac:dyDescent="0.3">
      <c r="B25" s="269"/>
      <c r="C25" s="269"/>
      <c r="D25" s="270"/>
    </row>
    <row r="26" spans="1:6" x14ac:dyDescent="0.25">
      <c r="B26" s="271"/>
      <c r="C26" s="271"/>
      <c r="D26" s="272"/>
    </row>
    <row r="27" spans="1:6" x14ac:dyDescent="0.25">
      <c r="B27" s="264"/>
      <c r="C27" s="264"/>
      <c r="D27" s="265"/>
    </row>
    <row r="28" spans="1:6" x14ac:dyDescent="0.25">
      <c r="B28" s="264"/>
      <c r="C28" s="264"/>
      <c r="D28" s="265"/>
    </row>
    <row r="29" spans="1:6" x14ac:dyDescent="0.25">
      <c r="B29" s="273"/>
      <c r="C29" s="273"/>
      <c r="D29" s="274"/>
    </row>
    <row r="30" spans="1:6" x14ac:dyDescent="0.25">
      <c r="B30" s="264"/>
      <c r="C30" s="264"/>
      <c r="D30" s="265"/>
    </row>
    <row r="31" spans="1:6" x14ac:dyDescent="0.25">
      <c r="B31" s="264"/>
      <c r="C31" s="264"/>
      <c r="D31" s="265"/>
    </row>
    <row r="32" spans="1:6" x14ac:dyDescent="0.25">
      <c r="B32" s="264"/>
      <c r="C32" s="264"/>
      <c r="D32" s="265"/>
    </row>
    <row r="33" spans="2:4" x14ac:dyDescent="0.25">
      <c r="B33" s="264"/>
      <c r="C33" s="264"/>
      <c r="D33" s="265"/>
    </row>
    <row r="34" spans="2:4" x14ac:dyDescent="0.25">
      <c r="B34" s="264"/>
      <c r="C34" s="264"/>
      <c r="D34" s="265"/>
    </row>
    <row r="35" spans="2:4" x14ac:dyDescent="0.25">
      <c r="B35" s="273"/>
      <c r="C35" s="273"/>
      <c r="D35" s="274"/>
    </row>
    <row r="36" spans="2:4" x14ac:dyDescent="0.25">
      <c r="B36" s="264"/>
      <c r="C36" s="264"/>
      <c r="D36" s="265"/>
    </row>
    <row r="37" spans="2:4" x14ac:dyDescent="0.25">
      <c r="B37" s="264"/>
      <c r="C37" s="264"/>
      <c r="D37" s="265"/>
    </row>
    <row r="38" spans="2:4" x14ac:dyDescent="0.25">
      <c r="B38" s="264"/>
      <c r="C38" s="264"/>
      <c r="D38" s="265"/>
    </row>
    <row r="39" spans="2:4" x14ac:dyDescent="0.25">
      <c r="B39" s="264"/>
      <c r="C39" s="264"/>
      <c r="D39" s="265"/>
    </row>
    <row r="40" spans="2:4" x14ac:dyDescent="0.25">
      <c r="B40" s="273"/>
      <c r="C40" s="273"/>
      <c r="D40" s="274"/>
    </row>
    <row r="41" spans="2:4" x14ac:dyDescent="0.25">
      <c r="B41" s="273"/>
      <c r="C41" s="273"/>
      <c r="D41" s="274"/>
    </row>
    <row r="42" spans="2:4" ht="15.75" thickBot="1" x14ac:dyDescent="0.3">
      <c r="B42" s="275"/>
      <c r="C42" s="275"/>
      <c r="D42" s="276"/>
    </row>
    <row r="43" spans="2:4" x14ac:dyDescent="0.25">
      <c r="B43" s="277"/>
      <c r="C43" s="277"/>
      <c r="D43" s="278"/>
    </row>
    <row r="44" spans="2:4" x14ac:dyDescent="0.25">
      <c r="B44" s="264"/>
      <c r="C44" s="264"/>
      <c r="D44" s="265"/>
    </row>
    <row r="45" spans="2:4" x14ac:dyDescent="0.25">
      <c r="B45" s="264"/>
      <c r="C45" s="264"/>
      <c r="D45" s="265"/>
    </row>
    <row r="46" spans="2:4" x14ac:dyDescent="0.25">
      <c r="B46" s="264"/>
      <c r="C46" s="264"/>
      <c r="D46" s="265"/>
    </row>
    <row r="47" spans="2:4" x14ac:dyDescent="0.25">
      <c r="B47" s="264"/>
      <c r="C47" s="264"/>
      <c r="D47" s="265"/>
    </row>
    <row r="48" spans="2:4" x14ac:dyDescent="0.25">
      <c r="B48" s="264"/>
      <c r="C48" s="264"/>
      <c r="D48" s="265"/>
    </row>
    <row r="49" spans="2:4" x14ac:dyDescent="0.25">
      <c r="B49" s="264"/>
      <c r="C49" s="264"/>
      <c r="D49" s="265"/>
    </row>
    <row r="50" spans="2:4" x14ac:dyDescent="0.25">
      <c r="B50" s="264"/>
      <c r="C50" s="264"/>
      <c r="D50" s="265"/>
    </row>
    <row r="51" spans="2:4" ht="14.45" customHeight="1" x14ac:dyDescent="0.25">
      <c r="B51" s="264"/>
      <c r="C51" s="264"/>
      <c r="D51" s="265"/>
    </row>
    <row r="52" spans="2:4" x14ac:dyDescent="0.25">
      <c r="B52" s="264"/>
      <c r="C52" s="264"/>
      <c r="D52" s="265"/>
    </row>
    <row r="53" spans="2:4" x14ac:dyDescent="0.25">
      <c r="B53" s="264"/>
      <c r="C53" s="264"/>
      <c r="D53" s="265"/>
    </row>
    <row r="54" spans="2:4" x14ac:dyDescent="0.25">
      <c r="B54" s="264"/>
      <c r="C54" s="264"/>
      <c r="D54" s="265"/>
    </row>
    <row r="55" spans="2:4" x14ac:dyDescent="0.25">
      <c r="B55" s="264"/>
      <c r="C55" s="264"/>
      <c r="D55" s="265"/>
    </row>
    <row r="56" spans="2:4" x14ac:dyDescent="0.25">
      <c r="B56" s="260"/>
      <c r="C56" s="260"/>
      <c r="D56" s="261"/>
    </row>
    <row r="57" spans="2:4" x14ac:dyDescent="0.25">
      <c r="B57" s="260"/>
      <c r="C57" s="260"/>
      <c r="D57" s="261"/>
    </row>
    <row r="58" spans="2:4" ht="15.75" thickBot="1" x14ac:dyDescent="0.3">
      <c r="B58" s="254"/>
      <c r="C58" s="254"/>
      <c r="D58" s="255"/>
    </row>
    <row r="59" spans="2:4" x14ac:dyDescent="0.25">
      <c r="B59" s="256"/>
      <c r="C59" s="256"/>
      <c r="D59" s="257"/>
    </row>
    <row r="60" spans="2:4" x14ac:dyDescent="0.25">
      <c r="B60" s="258"/>
      <c r="C60" s="258"/>
      <c r="D60" s="259"/>
    </row>
    <row r="61" spans="2:4" x14ac:dyDescent="0.25">
      <c r="B61" s="258"/>
      <c r="C61" s="258"/>
      <c r="D61" s="259"/>
    </row>
    <row r="62" spans="2:4" x14ac:dyDescent="0.25">
      <c r="B62" s="258"/>
      <c r="C62" s="258"/>
      <c r="D62" s="259"/>
    </row>
    <row r="63" spans="2:4" x14ac:dyDescent="0.25">
      <c r="B63" s="260"/>
      <c r="C63" s="260"/>
      <c r="D63" s="261"/>
    </row>
    <row r="64" spans="2:4" ht="14.45" customHeight="1" x14ac:dyDescent="0.25">
      <c r="B64" s="258"/>
      <c r="C64" s="258"/>
      <c r="D64" s="259"/>
    </row>
    <row r="65" spans="2:4" ht="15.75" thickBot="1" x14ac:dyDescent="0.3">
      <c r="B65" s="262"/>
      <c r="C65" s="262"/>
      <c r="D65" s="263"/>
    </row>
    <row r="66" spans="2:4" x14ac:dyDescent="0.25">
      <c r="B66" s="37"/>
      <c r="C66" s="37"/>
      <c r="D66" s="37"/>
    </row>
  </sheetData>
  <mergeCells count="24">
    <mergeCell ref="V2:W2"/>
    <mergeCell ref="B2:F2"/>
    <mergeCell ref="B46:D48"/>
    <mergeCell ref="B25:D25"/>
    <mergeCell ref="B26:D26"/>
    <mergeCell ref="B27:D28"/>
    <mergeCell ref="B29:D29"/>
    <mergeCell ref="B30:D34"/>
    <mergeCell ref="B35:D35"/>
    <mergeCell ref="B36:D39"/>
    <mergeCell ref="B40:D41"/>
    <mergeCell ref="B42:D42"/>
    <mergeCell ref="B43:D43"/>
    <mergeCell ref="B44:D45"/>
    <mergeCell ref="B49:D50"/>
    <mergeCell ref="B51:D52"/>
    <mergeCell ref="B53:D54"/>
    <mergeCell ref="B55:D55"/>
    <mergeCell ref="B56:D57"/>
    <mergeCell ref="B58:D58"/>
    <mergeCell ref="B59:D59"/>
    <mergeCell ref="B60:D62"/>
    <mergeCell ref="B63:D63"/>
    <mergeCell ref="B64:D65"/>
  </mergeCells>
  <dataValidations count="1">
    <dataValidation type="list" allowBlank="1" showInputMessage="1" showErrorMessage="1" sqref="L2" xr:uid="{EA902888-6E30-4029-B204-BA02B61982EC}">
      <formula1>$H:$H</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9BDF4-603D-4A28-B53D-BB1213ED6D93}">
  <dimension ref="B1:BZ10"/>
  <sheetViews>
    <sheetView zoomScale="85" zoomScaleNormal="85" workbookViewId="0">
      <selection activeCell="BE13" sqref="BE13"/>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8.8554687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72"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c r="BR1" s="1" t="s">
        <v>133</v>
      </c>
      <c r="BT1" s="2"/>
    </row>
    <row r="2" spans="2:72" ht="15.75" thickBot="1" x14ac:dyDescent="0.3">
      <c r="B2" t="str" cm="1">
        <f t="array" aca="1" ref="B2:B10" ca="1">_xlfn.ANCHORARRAY('ID sheet'!B3)</f>
        <v>L00 FAB LAB 01</v>
      </c>
      <c r="C2" cm="1">
        <f t="array" aca="1" ref="C2:C10" ca="1">_xlfn.ANCHORARRAY('ID sheet'!D3)</f>
        <v>2</v>
      </c>
      <c r="D2" t="e" cm="1">
        <f t="array" aca="1" ref="D2:D10" ca="1">IF(_xlfn.ANCHORARRAY(C2)=1,VLOOKUP(_xlfn.ANCHORARRAY(B2),L:Y,4,FALSE),IF(_xlfn.ANCHORARRAY(C2)=2,VLOOKUP(_xlfn.ANCHORARRAY(B2),AB:AN,4,FALSE),IF(_xlfn.ANCHORARRAY(C2)=3,VLOOKUP(_xlfn.ANCHORARRAY(B2),AQ:BC,4,FALSE))))</f>
        <v>#N/A</v>
      </c>
      <c r="E2" t="e" cm="1">
        <f t="array" aca="1" ref="E2:E10" ca="1">IF(_xlfn.ANCHORARRAY(C2)=1,VLOOKUP(_xlfn.ANCHORARRAY(B2),L:Y,5,FALSE),IF(_xlfn.ANCHORARRAY(C2)=2,VLOOKUP(_xlfn.ANCHORARRAY(B2),AB:AN,5,FALSE),IF(_xlfn.ANCHORARRAY(C2)=3,VLOOKUP(_xlfn.ANCHORARRAY(B2),AQ:BC,5,FALSE))))</f>
        <v>#N/A</v>
      </c>
      <c r="F2" t="e" cm="1">
        <f t="array" aca="1" ref="F2:F10" ca="1">IF(_xlfn.ANCHORARRAY(C2)=1,VLOOKUP(_xlfn.ANCHORARRAY(B2),L:Y,6,FALSE),IF(_xlfn.ANCHORARRAY(C2)=2,VLOOKUP(_xlfn.ANCHORARRAY(B2),AB:AN,6,FALSE),IF(_xlfn.ANCHORARRAY(C2)=3,VLOOKUP(_xlfn.ANCHORARRAY(B2),AQ:BC,6,FALSE))))</f>
        <v>#N/A</v>
      </c>
      <c r="G2" t="e" cm="1">
        <f t="array" aca="1" ref="G2:G10" ca="1">ROUND(VLOOKUP(_xlfn.ANCHORARRAY(B2),BG:BL,6,FALSE),1)</f>
        <v>#N/A</v>
      </c>
      <c r="H2">
        <f>BZ2</f>
        <v>0</v>
      </c>
      <c r="AB2" s="40"/>
      <c r="AQ2" s="40"/>
    </row>
    <row r="3" spans="2:72" ht="15.75" thickBot="1" x14ac:dyDescent="0.3">
      <c r="B3" t="str">
        <f ca="1"/>
        <v>L00 FAB LAB 02</v>
      </c>
      <c r="C3">
        <f ca="1"/>
        <v>2</v>
      </c>
      <c r="D3" t="e">
        <f ca="1"/>
        <v>#N/A</v>
      </c>
      <c r="E3" t="e">
        <f ca="1"/>
        <v>#N/A</v>
      </c>
      <c r="F3" t="e">
        <f ca="1"/>
        <v>#N/A</v>
      </c>
      <c r="G3" t="e">
        <f ca="1"/>
        <v>#N/A</v>
      </c>
      <c r="J3" s="5" t="s">
        <v>4</v>
      </c>
      <c r="K3" s="6"/>
      <c r="Z3" s="5" t="s">
        <v>4</v>
      </c>
      <c r="AA3" s="6"/>
      <c r="AB3" s="40"/>
      <c r="AO3" s="5" t="s">
        <v>4</v>
      </c>
      <c r="AP3" s="6"/>
      <c r="AQ3" s="40"/>
      <c r="BD3" s="5" t="s">
        <v>4</v>
      </c>
      <c r="BR3" s="5" t="s">
        <v>4</v>
      </c>
    </row>
    <row r="4" spans="2:72" ht="30.75" thickBot="1" x14ac:dyDescent="0.3">
      <c r="B4" t="str">
        <f ca="1"/>
        <v>L00 FAB LAB 03</v>
      </c>
      <c r="C4">
        <f ca="1"/>
        <v>2</v>
      </c>
      <c r="D4" t="e">
        <f ca="1"/>
        <v>#N/A</v>
      </c>
      <c r="E4" t="e">
        <f ca="1"/>
        <v>#N/A</v>
      </c>
      <c r="F4" t="e">
        <f ca="1"/>
        <v>#N/A</v>
      </c>
      <c r="G4" t="e">
        <f ca="1"/>
        <v>#N/A</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c r="AO4" s="4" t="str">
        <f>_xlfn.CONCAT("Paste TM52 results (Columns A:G) into cell ",ADDRESS(1,COLUMN(AQ1)))</f>
        <v>Paste TM52 results (Columns A:G) into cell $AQ$1</v>
      </c>
      <c r="AP4" s="7"/>
      <c r="AQ4" s="40"/>
      <c r="BD4" s="4" t="str">
        <f>_xlfn.CONCAT("1. Paste min/max Tdr into cell ",ADDRESS(1,COLUMN(BF1)))</f>
        <v>1. Paste min/max Tdr into cell $BF$1</v>
      </c>
      <c r="BR4" s="4" t="str">
        <f>_xlfn.CONCAT("1. Paste min/max Tdb into cell ",ADDRESS(1,COLUMN(BT1)))</f>
        <v>1. Paste min/max Tdb into cell $BT$1</v>
      </c>
    </row>
    <row r="5" spans="2:72" x14ac:dyDescent="0.25">
      <c r="B5" t="str">
        <f ca="1"/>
        <v>L00 FAB LAB 04</v>
      </c>
      <c r="C5">
        <f ca="1"/>
        <v>2</v>
      </c>
      <c r="D5" t="e">
        <f ca="1"/>
        <v>#N/A</v>
      </c>
      <c r="E5" t="e">
        <f ca="1"/>
        <v>#N/A</v>
      </c>
      <c r="F5" t="e">
        <f ca="1"/>
        <v>#N/A</v>
      </c>
      <c r="G5" t="e">
        <f ca="1"/>
        <v>#N/A</v>
      </c>
    </row>
    <row r="6" spans="2:72" x14ac:dyDescent="0.25">
      <c r="B6" t="str">
        <f ca="1"/>
        <v>L01 FAB LAB 05</v>
      </c>
      <c r="C6">
        <f ca="1"/>
        <v>2</v>
      </c>
      <c r="D6" t="e">
        <f ca="1"/>
        <v>#N/A</v>
      </c>
      <c r="E6" t="e">
        <f ca="1"/>
        <v>#N/A</v>
      </c>
      <c r="F6" t="e">
        <f ca="1"/>
        <v>#N/A</v>
      </c>
      <c r="G6" t="e">
        <f ca="1"/>
        <v>#N/A</v>
      </c>
    </row>
    <row r="7" spans="2:72" x14ac:dyDescent="0.25">
      <c r="B7" t="str">
        <f ca="1"/>
        <v>L01 FAB LAB 06</v>
      </c>
      <c r="C7">
        <f ca="1"/>
        <v>2</v>
      </c>
      <c r="D7" t="e">
        <f ca="1"/>
        <v>#N/A</v>
      </c>
      <c r="E7" t="e">
        <f ca="1"/>
        <v>#N/A</v>
      </c>
      <c r="F7" t="e">
        <f ca="1"/>
        <v>#N/A</v>
      </c>
      <c r="G7" t="e">
        <f ca="1"/>
        <v>#N/A</v>
      </c>
    </row>
    <row r="8" spans="2:72" x14ac:dyDescent="0.25">
      <c r="B8" t="str">
        <f ca="1"/>
        <v>L01 FAB LAB 07</v>
      </c>
      <c r="C8">
        <f ca="1"/>
        <v>2</v>
      </c>
      <c r="D8" t="e">
        <f ca="1"/>
        <v>#N/A</v>
      </c>
      <c r="E8" t="e">
        <f ca="1"/>
        <v>#N/A</v>
      </c>
      <c r="F8" t="e">
        <f ca="1"/>
        <v>#N/A</v>
      </c>
      <c r="G8" t="e">
        <f ca="1"/>
        <v>#N/A</v>
      </c>
    </row>
    <row r="9" spans="2:72" x14ac:dyDescent="0.25">
      <c r="B9" t="str">
        <f ca="1"/>
        <v>L01 FAB LAB 08</v>
      </c>
      <c r="C9">
        <f ca="1"/>
        <v>2</v>
      </c>
      <c r="D9" t="e">
        <f ca="1"/>
        <v>#N/A</v>
      </c>
      <c r="E9" t="e">
        <f ca="1"/>
        <v>#N/A</v>
      </c>
      <c r="F9" t="e">
        <f ca="1"/>
        <v>#N/A</v>
      </c>
      <c r="G9" t="e">
        <f ca="1"/>
        <v>#N/A</v>
      </c>
      <c r="N9" s="3"/>
      <c r="O9" s="3"/>
    </row>
    <row r="10" spans="2:72" x14ac:dyDescent="0.25">
      <c r="B10" t="str">
        <f ca="1"/>
        <v>L01 FAB LAB 09</v>
      </c>
      <c r="C10">
        <f ca="1"/>
        <v>2</v>
      </c>
      <c r="D10" t="e">
        <f ca="1"/>
        <v>#N/A</v>
      </c>
      <c r="E10" t="e">
        <f ca="1"/>
        <v>#N/A</v>
      </c>
      <c r="F10" t="e">
        <f ca="1"/>
        <v>#N/A</v>
      </c>
      <c r="G10" t="e">
        <f ca="1"/>
        <v>#N/A</v>
      </c>
      <c r="N10" s="3"/>
      <c r="O10" s="3"/>
    </row>
  </sheetData>
  <phoneticPr fontId="8"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38B5-CF9F-4CF9-8B68-002353DF3310}">
  <dimension ref="B1:CB39"/>
  <sheetViews>
    <sheetView zoomScale="85" zoomScaleNormal="85" workbookViewId="0">
      <selection activeCell="BD20" sqref="BD20"/>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v>
      </c>
      <c r="E2" cm="1">
        <f t="array" aca="1" ref="E2:E10" ca="1">IF(_xlfn.ANCHORARRAY(C2)=1,VLOOKUP(_xlfn.ANCHORARRAY(B2),L:Y,5,FALSE),IF(_xlfn.ANCHORARRAY(C2)=2,VLOOKUP(_xlfn.ANCHORARRAY(B2),AB:AN,5,FALSE),IF(_xlfn.ANCHORARRAY(C2)=3,VLOOKUP(_xlfn.ANCHORARRAY(B2),AQ:BC,5,FALSE))))</f>
        <v>0</v>
      </c>
      <c r="F2" cm="1">
        <f t="array" aca="1" ref="F2:F10" ca="1">IF(_xlfn.ANCHORARRAY(C2)=1,VLOOKUP(_xlfn.ANCHORARRAY(B2),L:Y,6,FALSE),IF(_xlfn.ANCHORARRAY(C2)=2,VLOOKUP(_xlfn.ANCHORARRAY(B2),AB:AN,6,FALSE),IF(_xlfn.ANCHORARRAY(C2)=3,VLOOKUP(_xlfn.ANCHORARRAY(B2),AQ:BC,6,FALSE))))</f>
        <v>0</v>
      </c>
      <c r="G2" cm="1">
        <f t="array" aca="1" ref="G2:G10" ca="1">ROUND(VLOOKUP(_xlfn.ANCHORARRAY(B2),BG:BL,6,FALSE),1)</f>
        <v>29.5</v>
      </c>
      <c r="H2">
        <f>BZ2</f>
        <v>34.6</v>
      </c>
      <c r="AB2" s="40" t="s">
        <v>253</v>
      </c>
      <c r="AC2" t="s">
        <v>254</v>
      </c>
      <c r="AQ2" s="40"/>
      <c r="BF2" t="s">
        <v>303</v>
      </c>
      <c r="BG2" t="s">
        <v>215</v>
      </c>
      <c r="BH2" t="s">
        <v>334</v>
      </c>
      <c r="BI2" t="s">
        <v>304</v>
      </c>
      <c r="BJ2">
        <v>17.84</v>
      </c>
      <c r="BK2" t="s">
        <v>305</v>
      </c>
      <c r="BL2">
        <v>29.5</v>
      </c>
      <c r="BM2" t="s">
        <v>308</v>
      </c>
      <c r="BN2">
        <v>23.6</v>
      </c>
      <c r="BT2" t="s">
        <v>309</v>
      </c>
      <c r="BV2" t="s">
        <v>262</v>
      </c>
      <c r="BW2" t="s">
        <v>304</v>
      </c>
      <c r="BX2">
        <v>5.3</v>
      </c>
      <c r="BY2" t="s">
        <v>310</v>
      </c>
      <c r="BZ2">
        <v>34.6</v>
      </c>
      <c r="CA2" t="s">
        <v>311</v>
      </c>
      <c r="CB2">
        <v>18.5</v>
      </c>
    </row>
    <row r="3" spans="2:80" ht="15.75" thickBot="1" x14ac:dyDescent="0.3">
      <c r="B3" t="str">
        <f ca="1"/>
        <v>L00 FAB LAB 02</v>
      </c>
      <c r="C3">
        <f ca="1"/>
        <v>2</v>
      </c>
      <c r="D3">
        <f ca="1"/>
        <v>0</v>
      </c>
      <c r="E3">
        <f ca="1"/>
        <v>0</v>
      </c>
      <c r="F3">
        <f ca="1"/>
        <v>0</v>
      </c>
      <c r="G3">
        <f ca="1"/>
        <v>29.6</v>
      </c>
      <c r="J3" s="5" t="s">
        <v>4</v>
      </c>
      <c r="K3" s="6"/>
      <c r="Z3" s="5" t="s">
        <v>4</v>
      </c>
      <c r="AA3" s="6"/>
      <c r="AB3" s="40" t="s">
        <v>255</v>
      </c>
      <c r="AC3" t="s">
        <v>256</v>
      </c>
      <c r="AO3" s="5" t="s">
        <v>4</v>
      </c>
      <c r="AP3" s="6"/>
      <c r="AQ3" s="40"/>
      <c r="BD3" s="5" t="s">
        <v>4</v>
      </c>
      <c r="BF3" t="s">
        <v>303</v>
      </c>
      <c r="BG3" t="s">
        <v>236</v>
      </c>
      <c r="BH3" t="s">
        <v>334</v>
      </c>
      <c r="BI3" t="s">
        <v>304</v>
      </c>
      <c r="BJ3">
        <v>17.79</v>
      </c>
      <c r="BK3" t="s">
        <v>305</v>
      </c>
      <c r="BL3">
        <v>29.57</v>
      </c>
      <c r="BM3" t="s">
        <v>325</v>
      </c>
      <c r="BN3">
        <v>23.69</v>
      </c>
      <c r="BR3" s="5" t="s">
        <v>4</v>
      </c>
    </row>
    <row r="4" spans="2:80" ht="30.75" thickBot="1" x14ac:dyDescent="0.3">
      <c r="B4" t="str">
        <f ca="1"/>
        <v>L00 FAB LAB 03</v>
      </c>
      <c r="C4">
        <f ca="1"/>
        <v>2</v>
      </c>
      <c r="D4">
        <f ca="1"/>
        <v>0</v>
      </c>
      <c r="E4">
        <f ca="1"/>
        <v>0</v>
      </c>
      <c r="F4">
        <f ca="1"/>
        <v>0</v>
      </c>
      <c r="G4">
        <f ca="1"/>
        <v>29.6</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334</v>
      </c>
      <c r="BI4" t="s">
        <v>304</v>
      </c>
      <c r="BJ4">
        <v>18</v>
      </c>
      <c r="BK4" t="s">
        <v>305</v>
      </c>
      <c r="BL4">
        <v>29.57</v>
      </c>
      <c r="BM4" t="s">
        <v>308</v>
      </c>
      <c r="BN4">
        <v>23.72</v>
      </c>
      <c r="BR4" s="4" t="str">
        <f>_xlfn.CONCAT("1. Paste min/max Tdb into cell ",ADDRESS(1,COLUMN(BT1)))</f>
        <v>1. Paste min/max Tdb into cell $BT$1</v>
      </c>
    </row>
    <row r="5" spans="2:80" x14ac:dyDescent="0.25">
      <c r="B5" t="str">
        <f ca="1"/>
        <v>L00 FAB LAB 04</v>
      </c>
      <c r="C5">
        <f ca="1"/>
        <v>2</v>
      </c>
      <c r="D5">
        <f ca="1"/>
        <v>0</v>
      </c>
      <c r="E5">
        <f ca="1"/>
        <v>0</v>
      </c>
      <c r="F5">
        <f ca="1"/>
        <v>0</v>
      </c>
      <c r="G5">
        <f ca="1"/>
        <v>29.7</v>
      </c>
      <c r="BF5" t="s">
        <v>303</v>
      </c>
      <c r="BG5" t="s">
        <v>240</v>
      </c>
      <c r="BH5" t="s">
        <v>334</v>
      </c>
      <c r="BI5" t="s">
        <v>304</v>
      </c>
      <c r="BJ5">
        <v>17.73</v>
      </c>
      <c r="BK5" t="s">
        <v>305</v>
      </c>
      <c r="BL5">
        <v>30.64</v>
      </c>
      <c r="BM5" t="s">
        <v>335</v>
      </c>
      <c r="BN5">
        <v>23.75</v>
      </c>
    </row>
    <row r="6" spans="2:80" x14ac:dyDescent="0.25">
      <c r="B6" t="str">
        <f ca="1"/>
        <v>L01 FAB LAB 05</v>
      </c>
      <c r="C6">
        <f ca="1"/>
        <v>2</v>
      </c>
      <c r="D6">
        <f ca="1"/>
        <v>0</v>
      </c>
      <c r="E6">
        <f ca="1"/>
        <v>0</v>
      </c>
      <c r="F6">
        <f ca="1"/>
        <v>0</v>
      </c>
      <c r="G6">
        <f ca="1"/>
        <v>29.2</v>
      </c>
      <c r="AB6" t="s">
        <v>258</v>
      </c>
      <c r="BF6" t="s">
        <v>303</v>
      </c>
      <c r="BG6" t="s">
        <v>243</v>
      </c>
      <c r="BH6" t="s">
        <v>334</v>
      </c>
      <c r="BI6" t="s">
        <v>304</v>
      </c>
      <c r="BJ6">
        <v>17.760000000000002</v>
      </c>
      <c r="BK6" t="s">
        <v>305</v>
      </c>
      <c r="BL6">
        <v>30.99</v>
      </c>
      <c r="BM6" t="s">
        <v>335</v>
      </c>
      <c r="BN6">
        <v>23.85</v>
      </c>
    </row>
    <row r="7" spans="2:80" x14ac:dyDescent="0.25">
      <c r="B7" t="str">
        <f ca="1"/>
        <v>L01 FAB LAB 06</v>
      </c>
      <c r="C7">
        <f ca="1"/>
        <v>2</v>
      </c>
      <c r="D7">
        <f ca="1"/>
        <v>0.6</v>
      </c>
      <c r="E7">
        <f ca="1"/>
        <v>4</v>
      </c>
      <c r="F7">
        <f ca="1"/>
        <v>2</v>
      </c>
      <c r="G7">
        <f ca="1"/>
        <v>30.6</v>
      </c>
      <c r="AB7" t="s">
        <v>259</v>
      </c>
      <c r="AC7" t="s">
        <v>260</v>
      </c>
      <c r="BF7" t="s">
        <v>303</v>
      </c>
      <c r="BG7" t="s">
        <v>245</v>
      </c>
      <c r="BH7" t="s">
        <v>334</v>
      </c>
      <c r="BI7" t="s">
        <v>304</v>
      </c>
      <c r="BJ7">
        <v>17.89</v>
      </c>
      <c r="BK7" t="s">
        <v>305</v>
      </c>
      <c r="BL7">
        <v>30.46</v>
      </c>
      <c r="BM7" t="s">
        <v>308</v>
      </c>
      <c r="BN7">
        <v>23.8</v>
      </c>
    </row>
    <row r="8" spans="2:80" x14ac:dyDescent="0.25">
      <c r="B8" t="str">
        <f ca="1"/>
        <v>L01 FAB LAB 07</v>
      </c>
      <c r="C8">
        <f ca="1"/>
        <v>2</v>
      </c>
      <c r="D8">
        <f ca="1"/>
        <v>0.8</v>
      </c>
      <c r="E8">
        <f ca="1"/>
        <v>5</v>
      </c>
      <c r="F8">
        <f ca="1"/>
        <v>2</v>
      </c>
      <c r="G8">
        <f ca="1"/>
        <v>31</v>
      </c>
      <c r="AB8" t="s">
        <v>261</v>
      </c>
      <c r="AC8" t="s">
        <v>262</v>
      </c>
      <c r="BF8" t="s">
        <v>303</v>
      </c>
      <c r="BG8" t="s">
        <v>247</v>
      </c>
      <c r="BH8" t="s">
        <v>334</v>
      </c>
      <c r="BI8" t="s">
        <v>304</v>
      </c>
      <c r="BJ8">
        <v>17.98</v>
      </c>
      <c r="BK8" t="s">
        <v>305</v>
      </c>
      <c r="BL8">
        <v>29.72</v>
      </c>
      <c r="BM8" t="s">
        <v>336</v>
      </c>
      <c r="BN8">
        <v>23.85</v>
      </c>
    </row>
    <row r="9" spans="2:80" x14ac:dyDescent="0.25">
      <c r="B9" t="str">
        <f ca="1"/>
        <v>L01 FAB LAB 08</v>
      </c>
      <c r="C9">
        <f ca="1"/>
        <v>2</v>
      </c>
      <c r="D9">
        <f ca="1"/>
        <v>0.5</v>
      </c>
      <c r="E9">
        <f ca="1"/>
        <v>3</v>
      </c>
      <c r="F9">
        <f ca="1"/>
        <v>1</v>
      </c>
      <c r="G9">
        <f ca="1"/>
        <v>30.5</v>
      </c>
      <c r="N9" s="3"/>
      <c r="O9" s="3"/>
      <c r="AB9" t="s">
        <v>263</v>
      </c>
      <c r="AC9">
        <v>153</v>
      </c>
      <c r="AD9">
        <v>46143</v>
      </c>
      <c r="AE9">
        <v>46295</v>
      </c>
      <c r="BF9" t="s">
        <v>303</v>
      </c>
      <c r="BG9" t="s">
        <v>249</v>
      </c>
      <c r="BH9" t="s">
        <v>334</v>
      </c>
      <c r="BI9" t="s">
        <v>304</v>
      </c>
      <c r="BJ9">
        <v>17.850000000000001</v>
      </c>
      <c r="BK9" t="s">
        <v>305</v>
      </c>
      <c r="BL9">
        <v>30.8</v>
      </c>
      <c r="BM9" t="s">
        <v>306</v>
      </c>
      <c r="BN9">
        <v>24.02</v>
      </c>
    </row>
    <row r="10" spans="2:80" x14ac:dyDescent="0.25">
      <c r="B10" t="str">
        <f ca="1"/>
        <v>L01 FAB LAB 09</v>
      </c>
      <c r="C10">
        <f ca="1"/>
        <v>2</v>
      </c>
      <c r="D10">
        <f ca="1"/>
        <v>0.8</v>
      </c>
      <c r="E10">
        <f ca="1"/>
        <v>4</v>
      </c>
      <c r="F10">
        <f ca="1"/>
        <v>2</v>
      </c>
      <c r="G10">
        <f ca="1"/>
        <v>30.8</v>
      </c>
      <c r="N10" s="3"/>
      <c r="O10" s="3"/>
      <c r="AB10" t="s">
        <v>264</v>
      </c>
      <c r="AC10">
        <v>153</v>
      </c>
      <c r="AD10">
        <v>46143</v>
      </c>
      <c r="AE10">
        <v>46295</v>
      </c>
      <c r="BF10" t="s">
        <v>303</v>
      </c>
      <c r="BG10" t="s">
        <v>251</v>
      </c>
      <c r="BH10" t="s">
        <v>334</v>
      </c>
      <c r="BI10" t="s">
        <v>304</v>
      </c>
      <c r="BJ10">
        <v>17.93</v>
      </c>
      <c r="BK10" t="s">
        <v>307</v>
      </c>
      <c r="BL10">
        <v>29.16</v>
      </c>
      <c r="BM10" t="s">
        <v>325</v>
      </c>
      <c r="BN10">
        <v>23.94</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v>
      </c>
      <c r="AF20">
        <v>0</v>
      </c>
      <c r="AG20">
        <v>0</v>
      </c>
      <c r="AH20" t="s">
        <v>281</v>
      </c>
    </row>
    <row r="21" spans="28:34" x14ac:dyDescent="0.25">
      <c r="AB21" t="s">
        <v>236</v>
      </c>
      <c r="AC21" t="s">
        <v>282</v>
      </c>
      <c r="AD21">
        <v>100</v>
      </c>
      <c r="AE21">
        <v>0</v>
      </c>
      <c r="AF21">
        <v>0</v>
      </c>
      <c r="AG21">
        <v>0</v>
      </c>
      <c r="AH21" t="s">
        <v>281</v>
      </c>
    </row>
    <row r="22" spans="28:34" x14ac:dyDescent="0.25">
      <c r="AB22" t="s">
        <v>238</v>
      </c>
      <c r="AC22" t="s">
        <v>283</v>
      </c>
      <c r="AD22">
        <v>100</v>
      </c>
      <c r="AE22">
        <v>0</v>
      </c>
      <c r="AF22">
        <v>0</v>
      </c>
      <c r="AG22">
        <v>0</v>
      </c>
      <c r="AH22" t="s">
        <v>281</v>
      </c>
    </row>
    <row r="23" spans="28:34" x14ac:dyDescent="0.25">
      <c r="AB23" t="s">
        <v>240</v>
      </c>
      <c r="AC23" t="s">
        <v>284</v>
      </c>
      <c r="AD23">
        <v>100</v>
      </c>
      <c r="AE23">
        <v>0.6</v>
      </c>
      <c r="AF23">
        <v>4</v>
      </c>
      <c r="AG23">
        <v>2</v>
      </c>
      <c r="AH23" t="s">
        <v>281</v>
      </c>
    </row>
    <row r="24" spans="28:34" x14ac:dyDescent="0.25">
      <c r="AB24" t="s">
        <v>243</v>
      </c>
      <c r="AC24" t="s">
        <v>285</v>
      </c>
      <c r="AD24">
        <v>100</v>
      </c>
      <c r="AE24">
        <v>0.8</v>
      </c>
      <c r="AF24">
        <v>5</v>
      </c>
      <c r="AG24">
        <v>2</v>
      </c>
      <c r="AH24" t="s">
        <v>281</v>
      </c>
    </row>
    <row r="25" spans="28:34" x14ac:dyDescent="0.25">
      <c r="AB25" t="s">
        <v>245</v>
      </c>
      <c r="AC25" t="s">
        <v>286</v>
      </c>
      <c r="AD25">
        <v>100</v>
      </c>
      <c r="AE25">
        <v>0.5</v>
      </c>
      <c r="AF25">
        <v>3</v>
      </c>
      <c r="AG25">
        <v>1</v>
      </c>
      <c r="AH25" t="s">
        <v>281</v>
      </c>
    </row>
    <row r="26" spans="28:34" x14ac:dyDescent="0.25">
      <c r="AB26" t="s">
        <v>247</v>
      </c>
      <c r="AC26" t="s">
        <v>287</v>
      </c>
      <c r="AD26">
        <v>100</v>
      </c>
      <c r="AE26">
        <v>0</v>
      </c>
      <c r="AF26">
        <v>0</v>
      </c>
      <c r="AG26">
        <v>0</v>
      </c>
      <c r="AH26" t="s">
        <v>281</v>
      </c>
    </row>
    <row r="27" spans="28:34" x14ac:dyDescent="0.25">
      <c r="AB27" t="s">
        <v>249</v>
      </c>
      <c r="AC27" t="s">
        <v>288</v>
      </c>
      <c r="AD27">
        <v>100</v>
      </c>
      <c r="AE27">
        <v>0.8</v>
      </c>
      <c r="AF27">
        <v>4</v>
      </c>
      <c r="AG27">
        <v>2</v>
      </c>
      <c r="AH27" t="s">
        <v>281</v>
      </c>
    </row>
    <row r="28" spans="28:34" x14ac:dyDescent="0.25">
      <c r="AB28" t="s">
        <v>251</v>
      </c>
      <c r="AC28" t="s">
        <v>289</v>
      </c>
      <c r="AD28">
        <v>100</v>
      </c>
      <c r="AE28">
        <v>0</v>
      </c>
      <c r="AF28">
        <v>0</v>
      </c>
      <c r="AG28">
        <v>0</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A4A9F-590F-46E7-88CD-267CFFB865D0}">
  <dimension ref="B1:CB39"/>
  <sheetViews>
    <sheetView zoomScale="85" zoomScaleNormal="85" workbookViewId="0">
      <selection activeCell="K21" sqref="K21"/>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0.2</v>
      </c>
      <c r="E2" cm="1">
        <f t="array" aca="1" ref="E2:E10" ca="1">IF(_xlfn.ANCHORARRAY(C2)=1,VLOOKUP(_xlfn.ANCHORARRAY(B2),L:Y,5,FALSE),IF(_xlfn.ANCHORARRAY(C2)=2,VLOOKUP(_xlfn.ANCHORARRAY(B2),AB:AN,5,FALSE),IF(_xlfn.ANCHORARRAY(C2)=3,VLOOKUP(_xlfn.ANCHORARRAY(B2),AQ:BC,5,FALSE))))</f>
        <v>3</v>
      </c>
      <c r="F2" cm="1">
        <f t="array" aca="1" ref="F2:F10" ca="1">IF(_xlfn.ANCHORARRAY(C2)=1,VLOOKUP(_xlfn.ANCHORARRAY(B2),L:Y,6,FALSE),IF(_xlfn.ANCHORARRAY(C2)=2,VLOOKUP(_xlfn.ANCHORARRAY(B2),AB:AN,6,FALSE),IF(_xlfn.ANCHORARRAY(C2)=3,VLOOKUP(_xlfn.ANCHORARRAY(B2),AQ:BC,6,FALSE))))</f>
        <v>1</v>
      </c>
      <c r="G2" cm="1">
        <f t="array" aca="1" ref="G2:G10" ca="1">ROUND(VLOOKUP(_xlfn.ANCHORARRAY(B2),BG:BL,6,FALSE),1)</f>
        <v>30.7</v>
      </c>
      <c r="H2">
        <f>BZ2</f>
        <v>38.6</v>
      </c>
      <c r="AB2" s="40" t="s">
        <v>253</v>
      </c>
      <c r="AC2" t="s">
        <v>254</v>
      </c>
      <c r="AQ2" s="40"/>
      <c r="BF2" t="s">
        <v>303</v>
      </c>
      <c r="BG2" t="s">
        <v>215</v>
      </c>
      <c r="BH2" t="s">
        <v>337</v>
      </c>
      <c r="BI2" t="s">
        <v>304</v>
      </c>
      <c r="BJ2">
        <v>19.059999999999999</v>
      </c>
      <c r="BK2" t="s">
        <v>315</v>
      </c>
      <c r="BL2">
        <v>30.7</v>
      </c>
      <c r="BM2" t="s">
        <v>316</v>
      </c>
      <c r="BN2">
        <v>23.46</v>
      </c>
      <c r="BT2" t="s">
        <v>309</v>
      </c>
      <c r="BV2" t="s">
        <v>312</v>
      </c>
      <c r="BW2" t="s">
        <v>304</v>
      </c>
      <c r="BX2">
        <v>4.7</v>
      </c>
      <c r="BY2" t="s">
        <v>313</v>
      </c>
      <c r="BZ2">
        <v>38.6</v>
      </c>
      <c r="CA2" t="s">
        <v>314</v>
      </c>
      <c r="CB2">
        <v>18.47</v>
      </c>
    </row>
    <row r="3" spans="2:80" ht="15.75" thickBot="1" x14ac:dyDescent="0.3">
      <c r="B3" t="str">
        <f ca="1"/>
        <v>L00 FAB LAB 02</v>
      </c>
      <c r="C3">
        <f ca="1"/>
        <v>2</v>
      </c>
      <c r="D3">
        <f ca="1"/>
        <v>0.2</v>
      </c>
      <c r="E3">
        <f ca="1"/>
        <v>3</v>
      </c>
      <c r="F3">
        <f ca="1"/>
        <v>1</v>
      </c>
      <c r="G3">
        <f ca="1"/>
        <v>30.7</v>
      </c>
      <c r="J3" s="5" t="s">
        <v>4</v>
      </c>
      <c r="K3" s="6"/>
      <c r="Z3" s="5" t="s">
        <v>4</v>
      </c>
      <c r="AA3" s="6"/>
      <c r="AB3" s="40" t="s">
        <v>255</v>
      </c>
      <c r="AC3" t="s">
        <v>256</v>
      </c>
      <c r="AO3" s="5" t="s">
        <v>4</v>
      </c>
      <c r="AP3" s="6"/>
      <c r="AQ3" s="40"/>
      <c r="BD3" s="5" t="s">
        <v>4</v>
      </c>
      <c r="BF3" t="s">
        <v>303</v>
      </c>
      <c r="BG3" t="s">
        <v>236</v>
      </c>
      <c r="BH3" t="s">
        <v>337</v>
      </c>
      <c r="BI3" t="s">
        <v>304</v>
      </c>
      <c r="BJ3">
        <v>19.079999999999998</v>
      </c>
      <c r="BK3" t="s">
        <v>315</v>
      </c>
      <c r="BL3">
        <v>30.69</v>
      </c>
      <c r="BM3" t="s">
        <v>317</v>
      </c>
      <c r="BN3">
        <v>23.54</v>
      </c>
      <c r="BR3" s="5" t="s">
        <v>4</v>
      </c>
    </row>
    <row r="4" spans="2:80" ht="30.75" thickBot="1" x14ac:dyDescent="0.3">
      <c r="B4" t="str">
        <f ca="1"/>
        <v>L00 FAB LAB 03</v>
      </c>
      <c r="C4">
        <f ca="1"/>
        <v>2</v>
      </c>
      <c r="D4">
        <f ca="1"/>
        <v>0.4</v>
      </c>
      <c r="E4">
        <f ca="1"/>
        <v>3</v>
      </c>
      <c r="F4">
        <f ca="1"/>
        <v>1</v>
      </c>
      <c r="G4">
        <f ca="1"/>
        <v>31.3</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337</v>
      </c>
      <c r="BI4" t="s">
        <v>304</v>
      </c>
      <c r="BJ4">
        <v>19.170000000000002</v>
      </c>
      <c r="BK4" t="s">
        <v>315</v>
      </c>
      <c r="BL4">
        <v>31.27</v>
      </c>
      <c r="BM4" t="s">
        <v>316</v>
      </c>
      <c r="BN4">
        <v>23.57</v>
      </c>
      <c r="BR4" s="4" t="str">
        <f>_xlfn.CONCAT("1. Paste min/max Tdb into cell ",ADDRESS(1,COLUMN(BT1)))</f>
        <v>1. Paste min/max Tdb into cell $BT$1</v>
      </c>
    </row>
    <row r="5" spans="2:80" x14ac:dyDescent="0.25">
      <c r="B5" t="str">
        <f ca="1"/>
        <v>L00 FAB LAB 04</v>
      </c>
      <c r="C5">
        <f ca="1"/>
        <v>2</v>
      </c>
      <c r="D5">
        <f ca="1"/>
        <v>0.2</v>
      </c>
      <c r="E5">
        <f ca="1"/>
        <v>3</v>
      </c>
      <c r="F5">
        <f ca="1"/>
        <v>1</v>
      </c>
      <c r="G5">
        <f ca="1"/>
        <v>30.8</v>
      </c>
      <c r="BF5" t="s">
        <v>303</v>
      </c>
      <c r="BG5" t="s">
        <v>240</v>
      </c>
      <c r="BH5" t="s">
        <v>337</v>
      </c>
      <c r="BI5" t="s">
        <v>304</v>
      </c>
      <c r="BJ5">
        <v>18.8</v>
      </c>
      <c r="BK5" t="s">
        <v>315</v>
      </c>
      <c r="BL5">
        <v>32.020000000000003</v>
      </c>
      <c r="BM5" t="s">
        <v>317</v>
      </c>
      <c r="BN5">
        <v>23.57</v>
      </c>
    </row>
    <row r="6" spans="2:80" x14ac:dyDescent="0.25">
      <c r="B6" t="str">
        <f ca="1"/>
        <v>L01 FAB LAB 05</v>
      </c>
      <c r="C6">
        <f ca="1"/>
        <v>2</v>
      </c>
      <c r="D6">
        <f ca="1"/>
        <v>0</v>
      </c>
      <c r="E6">
        <f ca="1"/>
        <v>0</v>
      </c>
      <c r="F6">
        <f ca="1"/>
        <v>0</v>
      </c>
      <c r="G6">
        <f ca="1"/>
        <v>30.3</v>
      </c>
      <c r="AB6" t="s">
        <v>258</v>
      </c>
      <c r="BF6" t="s">
        <v>303</v>
      </c>
      <c r="BG6" t="s">
        <v>243</v>
      </c>
      <c r="BH6" t="s">
        <v>337</v>
      </c>
      <c r="BI6" t="s">
        <v>304</v>
      </c>
      <c r="BJ6">
        <v>18.88</v>
      </c>
      <c r="BK6" t="s">
        <v>315</v>
      </c>
      <c r="BL6">
        <v>32.119999999999997</v>
      </c>
      <c r="BM6" t="s">
        <v>316</v>
      </c>
      <c r="BN6">
        <v>23.67</v>
      </c>
    </row>
    <row r="7" spans="2:80" x14ac:dyDescent="0.25">
      <c r="B7" t="str">
        <f ca="1"/>
        <v>L01 FAB LAB 06</v>
      </c>
      <c r="C7">
        <f ca="1"/>
        <v>2</v>
      </c>
      <c r="D7">
        <f ca="1"/>
        <v>1.2</v>
      </c>
      <c r="E7">
        <f ca="1"/>
        <v>6</v>
      </c>
      <c r="F7">
        <f ca="1"/>
        <v>2</v>
      </c>
      <c r="G7">
        <f ca="1"/>
        <v>32</v>
      </c>
      <c r="AB7" t="s">
        <v>259</v>
      </c>
      <c r="AC7" t="s">
        <v>260</v>
      </c>
      <c r="BF7" t="s">
        <v>303</v>
      </c>
      <c r="BG7" t="s">
        <v>245</v>
      </c>
      <c r="BH7" t="s">
        <v>337</v>
      </c>
      <c r="BI7" t="s">
        <v>304</v>
      </c>
      <c r="BJ7">
        <v>18.920000000000002</v>
      </c>
      <c r="BK7" t="s">
        <v>315</v>
      </c>
      <c r="BL7">
        <v>32.28</v>
      </c>
      <c r="BM7" t="s">
        <v>316</v>
      </c>
      <c r="BN7">
        <v>23.63</v>
      </c>
    </row>
    <row r="8" spans="2:80" x14ac:dyDescent="0.25">
      <c r="B8" t="str">
        <f ca="1"/>
        <v>L01 FAB LAB 07</v>
      </c>
      <c r="C8">
        <f ca="1"/>
        <v>2</v>
      </c>
      <c r="D8">
        <f ca="1"/>
        <v>1.2</v>
      </c>
      <c r="E8">
        <f ca="1"/>
        <v>7</v>
      </c>
      <c r="F8">
        <f ca="1"/>
        <v>2</v>
      </c>
      <c r="G8">
        <f ca="1"/>
        <v>32.1</v>
      </c>
      <c r="AB8" t="s">
        <v>261</v>
      </c>
      <c r="AC8" t="s">
        <v>312</v>
      </c>
      <c r="BF8" t="s">
        <v>303</v>
      </c>
      <c r="BG8" t="s">
        <v>247</v>
      </c>
      <c r="BH8" t="s">
        <v>337</v>
      </c>
      <c r="BI8" t="s">
        <v>304</v>
      </c>
      <c r="BJ8">
        <v>19.149999999999999</v>
      </c>
      <c r="BK8" t="s">
        <v>315</v>
      </c>
      <c r="BL8">
        <v>30.81</v>
      </c>
      <c r="BM8" t="s">
        <v>316</v>
      </c>
      <c r="BN8">
        <v>23.74</v>
      </c>
    </row>
    <row r="9" spans="2:80" x14ac:dyDescent="0.25">
      <c r="B9" t="str">
        <f ca="1"/>
        <v>L01 FAB LAB 08</v>
      </c>
      <c r="C9">
        <f ca="1"/>
        <v>2</v>
      </c>
      <c r="D9">
        <f ca="1"/>
        <v>1.3</v>
      </c>
      <c r="E9">
        <f ca="1"/>
        <v>7</v>
      </c>
      <c r="F9">
        <f ca="1"/>
        <v>2</v>
      </c>
      <c r="G9">
        <f ca="1"/>
        <v>32.299999999999997</v>
      </c>
      <c r="N9" s="3"/>
      <c r="O9" s="3"/>
      <c r="AB9" t="s">
        <v>263</v>
      </c>
      <c r="AC9">
        <v>153</v>
      </c>
      <c r="AD9">
        <v>46143</v>
      </c>
      <c r="AE9">
        <v>46295</v>
      </c>
      <c r="BF9" t="s">
        <v>303</v>
      </c>
      <c r="BG9" t="s">
        <v>249</v>
      </c>
      <c r="BH9" t="s">
        <v>337</v>
      </c>
      <c r="BI9" t="s">
        <v>304</v>
      </c>
      <c r="BJ9">
        <v>18.91</v>
      </c>
      <c r="BK9" t="s">
        <v>315</v>
      </c>
      <c r="BL9">
        <v>31.91</v>
      </c>
      <c r="BM9" t="s">
        <v>316</v>
      </c>
      <c r="BN9">
        <v>23.87</v>
      </c>
    </row>
    <row r="10" spans="2:80" x14ac:dyDescent="0.25">
      <c r="B10" t="str">
        <f ca="1"/>
        <v>L01 FAB LAB 09</v>
      </c>
      <c r="C10">
        <f ca="1"/>
        <v>2</v>
      </c>
      <c r="D10">
        <f ca="1"/>
        <v>1.2</v>
      </c>
      <c r="E10">
        <f ca="1"/>
        <v>5</v>
      </c>
      <c r="F10">
        <f ca="1"/>
        <v>2</v>
      </c>
      <c r="G10">
        <f ca="1"/>
        <v>31.9</v>
      </c>
      <c r="N10" s="3"/>
      <c r="O10" s="3"/>
      <c r="AB10" t="s">
        <v>264</v>
      </c>
      <c r="AC10">
        <v>153</v>
      </c>
      <c r="AD10">
        <v>46143</v>
      </c>
      <c r="AE10">
        <v>46295</v>
      </c>
      <c r="BF10" t="s">
        <v>303</v>
      </c>
      <c r="BG10" t="s">
        <v>251</v>
      </c>
      <c r="BH10" t="s">
        <v>337</v>
      </c>
      <c r="BI10" t="s">
        <v>304</v>
      </c>
      <c r="BJ10">
        <v>19.27</v>
      </c>
      <c r="BK10" t="s">
        <v>318</v>
      </c>
      <c r="BL10">
        <v>30.27</v>
      </c>
      <c r="BM10" t="s">
        <v>317</v>
      </c>
      <c r="BN10">
        <v>23.82</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0.2</v>
      </c>
      <c r="AF20">
        <v>3</v>
      </c>
      <c r="AG20">
        <v>1</v>
      </c>
      <c r="AH20" t="s">
        <v>281</v>
      </c>
    </row>
    <row r="21" spans="28:34" x14ac:dyDescent="0.25">
      <c r="AB21" t="s">
        <v>236</v>
      </c>
      <c r="AC21" t="s">
        <v>282</v>
      </c>
      <c r="AD21">
        <v>100</v>
      </c>
      <c r="AE21">
        <v>0.2</v>
      </c>
      <c r="AF21">
        <v>3</v>
      </c>
      <c r="AG21">
        <v>1</v>
      </c>
      <c r="AH21" t="s">
        <v>281</v>
      </c>
    </row>
    <row r="22" spans="28:34" x14ac:dyDescent="0.25">
      <c r="AB22" t="s">
        <v>238</v>
      </c>
      <c r="AC22" t="s">
        <v>283</v>
      </c>
      <c r="AD22">
        <v>100</v>
      </c>
      <c r="AE22">
        <v>0.4</v>
      </c>
      <c r="AF22">
        <v>3</v>
      </c>
      <c r="AG22">
        <v>1</v>
      </c>
      <c r="AH22" t="s">
        <v>281</v>
      </c>
    </row>
    <row r="23" spans="28:34" x14ac:dyDescent="0.25">
      <c r="AB23" t="s">
        <v>240</v>
      </c>
      <c r="AC23" t="s">
        <v>284</v>
      </c>
      <c r="AD23">
        <v>100</v>
      </c>
      <c r="AE23">
        <v>1.2</v>
      </c>
      <c r="AF23">
        <v>6</v>
      </c>
      <c r="AG23">
        <v>2</v>
      </c>
      <c r="AH23" t="s">
        <v>281</v>
      </c>
    </row>
    <row r="24" spans="28:34" x14ac:dyDescent="0.25">
      <c r="AB24" t="s">
        <v>243</v>
      </c>
      <c r="AC24" t="s">
        <v>285</v>
      </c>
      <c r="AD24">
        <v>100</v>
      </c>
      <c r="AE24">
        <v>1.2</v>
      </c>
      <c r="AF24">
        <v>7</v>
      </c>
      <c r="AG24">
        <v>2</v>
      </c>
      <c r="AH24">
        <v>2</v>
      </c>
    </row>
    <row r="25" spans="28:34" x14ac:dyDescent="0.25">
      <c r="AB25" t="s">
        <v>245</v>
      </c>
      <c r="AC25" t="s">
        <v>286</v>
      </c>
      <c r="AD25">
        <v>100</v>
      </c>
      <c r="AE25">
        <v>1.3</v>
      </c>
      <c r="AF25">
        <v>7</v>
      </c>
      <c r="AG25">
        <v>2</v>
      </c>
      <c r="AH25">
        <v>2</v>
      </c>
    </row>
    <row r="26" spans="28:34" x14ac:dyDescent="0.25">
      <c r="AB26" t="s">
        <v>247</v>
      </c>
      <c r="AC26" t="s">
        <v>287</v>
      </c>
      <c r="AD26">
        <v>100</v>
      </c>
      <c r="AE26">
        <v>0.2</v>
      </c>
      <c r="AF26">
        <v>3</v>
      </c>
      <c r="AG26">
        <v>1</v>
      </c>
      <c r="AH26" t="s">
        <v>281</v>
      </c>
    </row>
    <row r="27" spans="28:34" x14ac:dyDescent="0.25">
      <c r="AB27" t="s">
        <v>249</v>
      </c>
      <c r="AC27" t="s">
        <v>288</v>
      </c>
      <c r="AD27">
        <v>100</v>
      </c>
      <c r="AE27">
        <v>1.2</v>
      </c>
      <c r="AF27">
        <v>5</v>
      </c>
      <c r="AG27">
        <v>2</v>
      </c>
      <c r="AH27" t="s">
        <v>281</v>
      </c>
    </row>
    <row r="28" spans="28:34" x14ac:dyDescent="0.25">
      <c r="AB28" t="s">
        <v>251</v>
      </c>
      <c r="AC28" t="s">
        <v>289</v>
      </c>
      <c r="AD28">
        <v>100</v>
      </c>
      <c r="AE28">
        <v>0</v>
      </c>
      <c r="AF28">
        <v>0</v>
      </c>
      <c r="AG28">
        <v>0</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1968-7FA1-46CF-91DD-A9FF39E27894}">
  <dimension ref="B1:CB39"/>
  <sheetViews>
    <sheetView zoomScale="85" zoomScaleNormal="85" workbookViewId="0">
      <selection activeCell="BT1" sqref="BT1:CB2"/>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v>
      </c>
      <c r="E2" cm="1">
        <f t="array" aca="1" ref="E2:E10" ca="1">IF(_xlfn.ANCHORARRAY(C2)=1,VLOOKUP(_xlfn.ANCHORARRAY(B2),L:Y,5,FALSE),IF(_xlfn.ANCHORARRAY(C2)=2,VLOOKUP(_xlfn.ANCHORARRAY(B2),AB:AN,5,FALSE),IF(_xlfn.ANCHORARRAY(C2)=3,VLOOKUP(_xlfn.ANCHORARRAY(B2),AQ:BC,5,FALSE))))</f>
        <v>0</v>
      </c>
      <c r="F2" cm="1">
        <f t="array" aca="1" ref="F2:F10" ca="1">IF(_xlfn.ANCHORARRAY(C2)=1,VLOOKUP(_xlfn.ANCHORARRAY(B2),L:Y,6,FALSE),IF(_xlfn.ANCHORARRAY(C2)=2,VLOOKUP(_xlfn.ANCHORARRAY(B2),AB:AN,6,FALSE),IF(_xlfn.ANCHORARRAY(C2)=3,VLOOKUP(_xlfn.ANCHORARRAY(B2),AQ:BC,6,FALSE))))</f>
        <v>0</v>
      </c>
      <c r="G2" cm="1">
        <f t="array" aca="1" ref="G2:G10" ca="1">ROUND(VLOOKUP(_xlfn.ANCHORARRAY(B2),BG:BL,6,FALSE),1)</f>
        <v>30.3</v>
      </c>
      <c r="H2">
        <f>BZ2</f>
        <v>35</v>
      </c>
      <c r="AB2" s="40" t="s">
        <v>253</v>
      </c>
      <c r="AC2" t="s">
        <v>254</v>
      </c>
      <c r="AQ2" s="40"/>
      <c r="BF2" t="s">
        <v>303</v>
      </c>
      <c r="BG2" t="s">
        <v>215</v>
      </c>
      <c r="BH2" t="s">
        <v>338</v>
      </c>
      <c r="BI2" t="s">
        <v>304</v>
      </c>
      <c r="BJ2">
        <v>17.21</v>
      </c>
      <c r="BK2" t="s">
        <v>305</v>
      </c>
      <c r="BL2">
        <v>30.26</v>
      </c>
      <c r="BM2" t="s">
        <v>339</v>
      </c>
      <c r="BN2">
        <v>23.46</v>
      </c>
      <c r="BT2" t="s">
        <v>309</v>
      </c>
      <c r="BV2" t="s">
        <v>319</v>
      </c>
      <c r="BW2" t="s">
        <v>304</v>
      </c>
      <c r="BX2">
        <v>5.8</v>
      </c>
      <c r="BY2" t="s">
        <v>323</v>
      </c>
      <c r="BZ2">
        <v>35</v>
      </c>
      <c r="CA2" t="s">
        <v>324</v>
      </c>
      <c r="CB2">
        <v>18.55</v>
      </c>
    </row>
    <row r="3" spans="2:80" ht="15.75" thickBot="1" x14ac:dyDescent="0.3">
      <c r="B3" t="str">
        <f ca="1"/>
        <v>L00 FAB LAB 02</v>
      </c>
      <c r="C3">
        <f ca="1"/>
        <v>2</v>
      </c>
      <c r="D3">
        <f ca="1"/>
        <v>0.1</v>
      </c>
      <c r="E3">
        <f ca="1"/>
        <v>1</v>
      </c>
      <c r="F3">
        <f ca="1"/>
        <v>1</v>
      </c>
      <c r="G3">
        <f ca="1"/>
        <v>30.5</v>
      </c>
      <c r="J3" s="5" t="s">
        <v>4</v>
      </c>
      <c r="K3" s="6"/>
      <c r="Z3" s="5" t="s">
        <v>4</v>
      </c>
      <c r="AA3" s="6"/>
      <c r="AB3" s="40" t="s">
        <v>255</v>
      </c>
      <c r="AC3" t="s">
        <v>256</v>
      </c>
      <c r="AO3" s="5" t="s">
        <v>4</v>
      </c>
      <c r="AP3" s="6"/>
      <c r="AQ3" s="40"/>
      <c r="BD3" s="5" t="s">
        <v>4</v>
      </c>
      <c r="BF3" t="s">
        <v>303</v>
      </c>
      <c r="BG3" t="s">
        <v>236</v>
      </c>
      <c r="BH3" t="s">
        <v>338</v>
      </c>
      <c r="BI3" t="s">
        <v>304</v>
      </c>
      <c r="BJ3">
        <v>17.100000000000001</v>
      </c>
      <c r="BK3" t="s">
        <v>305</v>
      </c>
      <c r="BL3">
        <v>30.5</v>
      </c>
      <c r="BM3" t="s">
        <v>339</v>
      </c>
      <c r="BN3">
        <v>23.55</v>
      </c>
      <c r="BR3" s="5" t="s">
        <v>4</v>
      </c>
    </row>
    <row r="4" spans="2:80" ht="30.75" thickBot="1" x14ac:dyDescent="0.3">
      <c r="B4" t="str">
        <f ca="1"/>
        <v>L00 FAB LAB 03</v>
      </c>
      <c r="C4">
        <f ca="1"/>
        <v>2</v>
      </c>
      <c r="D4">
        <f ca="1"/>
        <v>0</v>
      </c>
      <c r="E4">
        <f ca="1"/>
        <v>0</v>
      </c>
      <c r="F4">
        <f ca="1"/>
        <v>0</v>
      </c>
      <c r="G4">
        <f ca="1"/>
        <v>30.5</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338</v>
      </c>
      <c r="BI4" t="s">
        <v>304</v>
      </c>
      <c r="BJ4">
        <v>17.3</v>
      </c>
      <c r="BK4" t="s">
        <v>305</v>
      </c>
      <c r="BL4">
        <v>30.48</v>
      </c>
      <c r="BM4" t="s">
        <v>322</v>
      </c>
      <c r="BN4">
        <v>23.58</v>
      </c>
      <c r="BR4" s="4" t="str">
        <f>_xlfn.CONCAT("1. Paste min/max Tdb into cell ",ADDRESS(1,COLUMN(BT1)))</f>
        <v>1. Paste min/max Tdb into cell $BT$1</v>
      </c>
    </row>
    <row r="5" spans="2:80" x14ac:dyDescent="0.25">
      <c r="B5" t="str">
        <f ca="1"/>
        <v>L00 FAB LAB 04</v>
      </c>
      <c r="C5">
        <f ca="1"/>
        <v>2</v>
      </c>
      <c r="D5">
        <f ca="1"/>
        <v>0</v>
      </c>
      <c r="E5">
        <f ca="1"/>
        <v>0</v>
      </c>
      <c r="F5">
        <f ca="1"/>
        <v>0</v>
      </c>
      <c r="G5">
        <f ca="1"/>
        <v>30.4</v>
      </c>
      <c r="BF5" t="s">
        <v>303</v>
      </c>
      <c r="BG5" t="s">
        <v>240</v>
      </c>
      <c r="BH5" t="s">
        <v>338</v>
      </c>
      <c r="BI5" t="s">
        <v>304</v>
      </c>
      <c r="BJ5">
        <v>17.100000000000001</v>
      </c>
      <c r="BK5" t="s">
        <v>305</v>
      </c>
      <c r="BL5">
        <v>31.12</v>
      </c>
      <c r="BM5" t="s">
        <v>320</v>
      </c>
      <c r="BN5">
        <v>23.6</v>
      </c>
    </row>
    <row r="6" spans="2:80" x14ac:dyDescent="0.25">
      <c r="B6" t="str">
        <f ca="1"/>
        <v>L01 FAB LAB 05</v>
      </c>
      <c r="C6">
        <f ca="1"/>
        <v>2</v>
      </c>
      <c r="D6">
        <f ca="1"/>
        <v>0</v>
      </c>
      <c r="E6">
        <f ca="1"/>
        <v>0</v>
      </c>
      <c r="F6">
        <f ca="1"/>
        <v>0</v>
      </c>
      <c r="G6">
        <f ca="1"/>
        <v>29.8</v>
      </c>
      <c r="AB6" t="s">
        <v>258</v>
      </c>
      <c r="BF6" t="s">
        <v>303</v>
      </c>
      <c r="BG6" t="s">
        <v>243</v>
      </c>
      <c r="BH6" t="s">
        <v>338</v>
      </c>
      <c r="BI6" t="s">
        <v>304</v>
      </c>
      <c r="BJ6">
        <v>17.07</v>
      </c>
      <c r="BK6" t="s">
        <v>305</v>
      </c>
      <c r="BL6">
        <v>31.6</v>
      </c>
      <c r="BM6" t="s">
        <v>321</v>
      </c>
      <c r="BN6">
        <v>23.71</v>
      </c>
    </row>
    <row r="7" spans="2:80" x14ac:dyDescent="0.25">
      <c r="B7" t="str">
        <f ca="1"/>
        <v>L01 FAB LAB 06</v>
      </c>
      <c r="C7">
        <f ca="1"/>
        <v>2</v>
      </c>
      <c r="D7">
        <f ca="1"/>
        <v>1</v>
      </c>
      <c r="E7">
        <f ca="1"/>
        <v>2</v>
      </c>
      <c r="F7">
        <f ca="1"/>
        <v>1</v>
      </c>
      <c r="G7">
        <f ca="1"/>
        <v>31.1</v>
      </c>
      <c r="AB7" t="s">
        <v>259</v>
      </c>
      <c r="AC7" t="s">
        <v>260</v>
      </c>
      <c r="BF7" t="s">
        <v>303</v>
      </c>
      <c r="BG7" t="s">
        <v>245</v>
      </c>
      <c r="BH7" t="s">
        <v>338</v>
      </c>
      <c r="BI7" t="s">
        <v>304</v>
      </c>
      <c r="BJ7">
        <v>17.2</v>
      </c>
      <c r="BK7" t="s">
        <v>305</v>
      </c>
      <c r="BL7">
        <v>31.2</v>
      </c>
      <c r="BM7" t="s">
        <v>322</v>
      </c>
      <c r="BN7">
        <v>23.66</v>
      </c>
    </row>
    <row r="8" spans="2:80" x14ac:dyDescent="0.25">
      <c r="B8" t="str">
        <f ca="1"/>
        <v>L01 FAB LAB 07</v>
      </c>
      <c r="C8">
        <f ca="1"/>
        <v>2</v>
      </c>
      <c r="D8">
        <f ca="1"/>
        <v>1.8</v>
      </c>
      <c r="E8">
        <f ca="1"/>
        <v>4</v>
      </c>
      <c r="F8">
        <f ca="1"/>
        <v>2</v>
      </c>
      <c r="G8">
        <f ca="1"/>
        <v>31.6</v>
      </c>
      <c r="AB8" t="s">
        <v>261</v>
      </c>
      <c r="AC8" t="s">
        <v>319</v>
      </c>
      <c r="BF8" t="s">
        <v>303</v>
      </c>
      <c r="BG8" t="s">
        <v>247</v>
      </c>
      <c r="BH8" t="s">
        <v>338</v>
      </c>
      <c r="BI8" t="s">
        <v>304</v>
      </c>
      <c r="BJ8">
        <v>17.420000000000002</v>
      </c>
      <c r="BK8" t="s">
        <v>305</v>
      </c>
      <c r="BL8">
        <v>30.42</v>
      </c>
      <c r="BM8" t="s">
        <v>322</v>
      </c>
      <c r="BN8">
        <v>23.74</v>
      </c>
    </row>
    <row r="9" spans="2:80" x14ac:dyDescent="0.25">
      <c r="B9" t="str">
        <f ca="1"/>
        <v>L01 FAB LAB 08</v>
      </c>
      <c r="C9">
        <f ca="1"/>
        <v>2</v>
      </c>
      <c r="D9">
        <f ca="1"/>
        <v>1.2</v>
      </c>
      <c r="E9">
        <f ca="1"/>
        <v>3</v>
      </c>
      <c r="F9">
        <f ca="1"/>
        <v>1</v>
      </c>
      <c r="G9">
        <f ca="1"/>
        <v>31.2</v>
      </c>
      <c r="N9" s="3"/>
      <c r="O9" s="3"/>
      <c r="AB9" t="s">
        <v>263</v>
      </c>
      <c r="AC9">
        <v>153</v>
      </c>
      <c r="AD9">
        <v>46143</v>
      </c>
      <c r="AE9">
        <v>46295</v>
      </c>
      <c r="BF9" t="s">
        <v>303</v>
      </c>
      <c r="BG9" t="s">
        <v>249</v>
      </c>
      <c r="BH9" t="s">
        <v>338</v>
      </c>
      <c r="BI9" t="s">
        <v>304</v>
      </c>
      <c r="BJ9">
        <v>17.260000000000002</v>
      </c>
      <c r="BK9" t="s">
        <v>305</v>
      </c>
      <c r="BL9">
        <v>31.33</v>
      </c>
      <c r="BM9" t="s">
        <v>320</v>
      </c>
      <c r="BN9">
        <v>23.89</v>
      </c>
    </row>
    <row r="10" spans="2:80" x14ac:dyDescent="0.25">
      <c r="B10" t="str">
        <f ca="1"/>
        <v>L01 FAB LAB 09</v>
      </c>
      <c r="C10">
        <f ca="1"/>
        <v>2</v>
      </c>
      <c r="D10">
        <f ca="1"/>
        <v>1.4</v>
      </c>
      <c r="E10">
        <f ca="1"/>
        <v>2</v>
      </c>
      <c r="F10">
        <f ca="1"/>
        <v>1</v>
      </c>
      <c r="G10">
        <f ca="1"/>
        <v>31.3</v>
      </c>
      <c r="N10" s="3"/>
      <c r="O10" s="3"/>
      <c r="AB10" t="s">
        <v>264</v>
      </c>
      <c r="AC10">
        <v>153</v>
      </c>
      <c r="AD10">
        <v>46143</v>
      </c>
      <c r="AE10">
        <v>46295</v>
      </c>
      <c r="BF10" t="s">
        <v>303</v>
      </c>
      <c r="BG10" t="s">
        <v>251</v>
      </c>
      <c r="BH10" t="s">
        <v>338</v>
      </c>
      <c r="BI10" t="s">
        <v>304</v>
      </c>
      <c r="BJ10">
        <v>17.41</v>
      </c>
      <c r="BK10" t="s">
        <v>305</v>
      </c>
      <c r="BL10">
        <v>29.83</v>
      </c>
      <c r="BM10" t="s">
        <v>320</v>
      </c>
      <c r="BN10">
        <v>23.82</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v>
      </c>
      <c r="AF20">
        <v>0</v>
      </c>
      <c r="AG20">
        <v>0</v>
      </c>
      <c r="AH20" t="s">
        <v>281</v>
      </c>
    </row>
    <row r="21" spans="28:34" x14ac:dyDescent="0.25">
      <c r="AB21" t="s">
        <v>236</v>
      </c>
      <c r="AC21" t="s">
        <v>282</v>
      </c>
      <c r="AD21">
        <v>100</v>
      </c>
      <c r="AE21">
        <v>0.1</v>
      </c>
      <c r="AF21">
        <v>1</v>
      </c>
      <c r="AG21">
        <v>1</v>
      </c>
      <c r="AH21" t="s">
        <v>281</v>
      </c>
    </row>
    <row r="22" spans="28:34" x14ac:dyDescent="0.25">
      <c r="AB22" t="s">
        <v>238</v>
      </c>
      <c r="AC22" t="s">
        <v>283</v>
      </c>
      <c r="AD22">
        <v>100</v>
      </c>
      <c r="AE22">
        <v>0</v>
      </c>
      <c r="AF22">
        <v>0</v>
      </c>
      <c r="AG22">
        <v>0</v>
      </c>
      <c r="AH22" t="s">
        <v>281</v>
      </c>
    </row>
    <row r="23" spans="28:34" x14ac:dyDescent="0.25">
      <c r="AB23" t="s">
        <v>240</v>
      </c>
      <c r="AC23" t="s">
        <v>284</v>
      </c>
      <c r="AD23">
        <v>100</v>
      </c>
      <c r="AE23">
        <v>1</v>
      </c>
      <c r="AF23">
        <v>2</v>
      </c>
      <c r="AG23">
        <v>1</v>
      </c>
      <c r="AH23" t="s">
        <v>281</v>
      </c>
    </row>
    <row r="24" spans="28:34" x14ac:dyDescent="0.25">
      <c r="AB24" t="s">
        <v>243</v>
      </c>
      <c r="AC24" t="s">
        <v>285</v>
      </c>
      <c r="AD24">
        <v>100</v>
      </c>
      <c r="AE24">
        <v>1.8</v>
      </c>
      <c r="AF24">
        <v>4</v>
      </c>
      <c r="AG24">
        <v>2</v>
      </c>
      <c r="AH24" t="s">
        <v>281</v>
      </c>
    </row>
    <row r="25" spans="28:34" x14ac:dyDescent="0.25">
      <c r="AB25" t="s">
        <v>245</v>
      </c>
      <c r="AC25" t="s">
        <v>286</v>
      </c>
      <c r="AD25">
        <v>100</v>
      </c>
      <c r="AE25">
        <v>1.2</v>
      </c>
      <c r="AF25">
        <v>3</v>
      </c>
      <c r="AG25">
        <v>1</v>
      </c>
      <c r="AH25" t="s">
        <v>281</v>
      </c>
    </row>
    <row r="26" spans="28:34" x14ac:dyDescent="0.25">
      <c r="AB26" t="s">
        <v>247</v>
      </c>
      <c r="AC26" t="s">
        <v>287</v>
      </c>
      <c r="AD26">
        <v>100</v>
      </c>
      <c r="AE26">
        <v>0</v>
      </c>
      <c r="AF26">
        <v>0</v>
      </c>
      <c r="AG26">
        <v>0</v>
      </c>
      <c r="AH26" t="s">
        <v>281</v>
      </c>
    </row>
    <row r="27" spans="28:34" x14ac:dyDescent="0.25">
      <c r="AB27" t="s">
        <v>249</v>
      </c>
      <c r="AC27" t="s">
        <v>288</v>
      </c>
      <c r="AD27">
        <v>100</v>
      </c>
      <c r="AE27">
        <v>1.4</v>
      </c>
      <c r="AF27">
        <v>2</v>
      </c>
      <c r="AG27">
        <v>1</v>
      </c>
      <c r="AH27" t="s">
        <v>281</v>
      </c>
    </row>
    <row r="28" spans="28:34" x14ac:dyDescent="0.25">
      <c r="AB28" t="s">
        <v>251</v>
      </c>
      <c r="AC28" t="s">
        <v>289</v>
      </c>
      <c r="AD28">
        <v>100</v>
      </c>
      <c r="AE28">
        <v>0</v>
      </c>
      <c r="AF28">
        <v>0</v>
      </c>
      <c r="AG28">
        <v>0</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4184-4FEC-4331-9889-BE144F55876D}">
  <dimension ref="B1:CB39"/>
  <sheetViews>
    <sheetView zoomScale="85" zoomScaleNormal="85" workbookViewId="0">
      <selection activeCell="AB1" sqref="AB1:AH1048576"/>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0.5</v>
      </c>
      <c r="E2" cm="1">
        <f t="array" aca="1" ref="E2:E10" ca="1">IF(_xlfn.ANCHORARRAY(C2)=1,VLOOKUP(_xlfn.ANCHORARRAY(B2),L:Y,5,FALSE),IF(_xlfn.ANCHORARRAY(C2)=2,VLOOKUP(_xlfn.ANCHORARRAY(B2),AB:AN,5,FALSE),IF(_xlfn.ANCHORARRAY(C2)=3,VLOOKUP(_xlfn.ANCHORARRAY(B2),AQ:BC,5,FALSE))))</f>
        <v>2</v>
      </c>
      <c r="F2" cm="1">
        <f t="array" aca="1" ref="F2:F10" ca="1">IF(_xlfn.ANCHORARRAY(C2)=1,VLOOKUP(_xlfn.ANCHORARRAY(B2),L:Y,6,FALSE),IF(_xlfn.ANCHORARRAY(C2)=2,VLOOKUP(_xlfn.ANCHORARRAY(B2),AB:AN,6,FALSE),IF(_xlfn.ANCHORARRAY(C2)=3,VLOOKUP(_xlfn.ANCHORARRAY(B2),AQ:BC,6,FALSE))))</f>
        <v>1</v>
      </c>
      <c r="G2" cm="1">
        <f t="array" aca="1" ref="G2:G10" ca="1">ROUND(VLOOKUP(_xlfn.ANCHORARRAY(B2),BG:BL,6,FALSE),1)</f>
        <v>30.9</v>
      </c>
      <c r="H2">
        <f>BZ2</f>
        <v>36.4</v>
      </c>
      <c r="AB2" s="40" t="s">
        <v>253</v>
      </c>
      <c r="AC2" t="s">
        <v>254</v>
      </c>
      <c r="AQ2" s="40"/>
      <c r="BF2" t="s">
        <v>303</v>
      </c>
      <c r="BG2" t="s">
        <v>215</v>
      </c>
      <c r="BH2" t="s">
        <v>340</v>
      </c>
      <c r="BI2" t="s">
        <v>304</v>
      </c>
      <c r="BJ2">
        <v>18.329999999999998</v>
      </c>
      <c r="BK2" t="s">
        <v>305</v>
      </c>
      <c r="BL2">
        <v>30.9</v>
      </c>
      <c r="BM2" t="s">
        <v>325</v>
      </c>
      <c r="BN2">
        <v>24.42</v>
      </c>
      <c r="BT2" t="s">
        <v>309</v>
      </c>
      <c r="BV2" t="s">
        <v>326</v>
      </c>
      <c r="BW2" t="s">
        <v>304</v>
      </c>
      <c r="BX2">
        <v>6.5</v>
      </c>
      <c r="BY2" t="s">
        <v>310</v>
      </c>
      <c r="BZ2">
        <v>36.4</v>
      </c>
      <c r="CA2" t="s">
        <v>311</v>
      </c>
      <c r="CB2">
        <v>20.02</v>
      </c>
    </row>
    <row r="3" spans="2:80" ht="15.75" thickBot="1" x14ac:dyDescent="0.3">
      <c r="B3" t="str">
        <f ca="1"/>
        <v>L00 FAB LAB 02</v>
      </c>
      <c r="C3">
        <f ca="1"/>
        <v>2</v>
      </c>
      <c r="D3">
        <f ca="1"/>
        <v>0.7</v>
      </c>
      <c r="E3">
        <f ca="1"/>
        <v>3</v>
      </c>
      <c r="F3">
        <f ca="1"/>
        <v>1</v>
      </c>
      <c r="G3">
        <f ca="1"/>
        <v>31</v>
      </c>
      <c r="J3" s="5" t="s">
        <v>4</v>
      </c>
      <c r="K3" s="6"/>
      <c r="Z3" s="5" t="s">
        <v>4</v>
      </c>
      <c r="AA3" s="6"/>
      <c r="AB3" s="40" t="s">
        <v>255</v>
      </c>
      <c r="AC3" t="s">
        <v>256</v>
      </c>
      <c r="AO3" s="5" t="s">
        <v>4</v>
      </c>
      <c r="AP3" s="6"/>
      <c r="AQ3" s="40"/>
      <c r="BD3" s="5" t="s">
        <v>4</v>
      </c>
      <c r="BF3" t="s">
        <v>303</v>
      </c>
      <c r="BG3" t="s">
        <v>236</v>
      </c>
      <c r="BH3" t="s">
        <v>340</v>
      </c>
      <c r="BI3" t="s">
        <v>304</v>
      </c>
      <c r="BJ3">
        <v>18.329999999999998</v>
      </c>
      <c r="BK3" t="s">
        <v>305</v>
      </c>
      <c r="BL3">
        <v>31.01</v>
      </c>
      <c r="BM3" t="s">
        <v>325</v>
      </c>
      <c r="BN3">
        <v>24.5</v>
      </c>
      <c r="BR3" s="5" t="s">
        <v>4</v>
      </c>
    </row>
    <row r="4" spans="2:80" ht="30.75" thickBot="1" x14ac:dyDescent="0.3">
      <c r="B4" t="str">
        <f ca="1"/>
        <v>L00 FAB LAB 03</v>
      </c>
      <c r="C4">
        <f ca="1"/>
        <v>2</v>
      </c>
      <c r="D4">
        <f ca="1"/>
        <v>0.5</v>
      </c>
      <c r="E4">
        <f ca="1"/>
        <v>3</v>
      </c>
      <c r="F4">
        <f ca="1"/>
        <v>1</v>
      </c>
      <c r="G4">
        <f ca="1"/>
        <v>31</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340</v>
      </c>
      <c r="BI4" t="s">
        <v>304</v>
      </c>
      <c r="BJ4">
        <v>18.54</v>
      </c>
      <c r="BK4" t="s">
        <v>305</v>
      </c>
      <c r="BL4">
        <v>30.96</v>
      </c>
      <c r="BM4" t="s">
        <v>308</v>
      </c>
      <c r="BN4">
        <v>24.53</v>
      </c>
      <c r="BR4" s="4" t="str">
        <f>_xlfn.CONCAT("1. Paste min/max Tdb into cell ",ADDRESS(1,COLUMN(BT1)))</f>
        <v>1. Paste min/max Tdb into cell $BT$1</v>
      </c>
    </row>
    <row r="5" spans="2:80" x14ac:dyDescent="0.25">
      <c r="B5" t="str">
        <f ca="1"/>
        <v>L00 FAB LAB 04</v>
      </c>
      <c r="C5">
        <f ca="1"/>
        <v>2</v>
      </c>
      <c r="D5">
        <f ca="1"/>
        <v>0.6</v>
      </c>
      <c r="E5">
        <f ca="1"/>
        <v>3</v>
      </c>
      <c r="F5">
        <f ca="1"/>
        <v>1</v>
      </c>
      <c r="G5">
        <f ca="1"/>
        <v>31.1</v>
      </c>
      <c r="BF5" t="s">
        <v>303</v>
      </c>
      <c r="BG5" t="s">
        <v>240</v>
      </c>
      <c r="BH5" t="s">
        <v>340</v>
      </c>
      <c r="BI5" t="s">
        <v>304</v>
      </c>
      <c r="BJ5">
        <v>18.21</v>
      </c>
      <c r="BK5" t="s">
        <v>305</v>
      </c>
      <c r="BL5">
        <v>31.99</v>
      </c>
      <c r="BM5" t="s">
        <v>335</v>
      </c>
      <c r="BN5">
        <v>24.6</v>
      </c>
    </row>
    <row r="6" spans="2:80" x14ac:dyDescent="0.25">
      <c r="B6" t="str">
        <f ca="1"/>
        <v>L01 FAB LAB 05</v>
      </c>
      <c r="C6">
        <f ca="1"/>
        <v>2</v>
      </c>
      <c r="D6">
        <f ca="1"/>
        <v>0.1</v>
      </c>
      <c r="E6">
        <f ca="1"/>
        <v>1</v>
      </c>
      <c r="F6">
        <f ca="1"/>
        <v>1</v>
      </c>
      <c r="G6">
        <f ca="1"/>
        <v>30.6</v>
      </c>
      <c r="AB6" t="s">
        <v>258</v>
      </c>
      <c r="BF6" t="s">
        <v>303</v>
      </c>
      <c r="BG6" t="s">
        <v>243</v>
      </c>
      <c r="BH6" t="s">
        <v>340</v>
      </c>
      <c r="BI6" t="s">
        <v>304</v>
      </c>
      <c r="BJ6">
        <v>18.27</v>
      </c>
      <c r="BK6" t="s">
        <v>305</v>
      </c>
      <c r="BL6">
        <v>32.35</v>
      </c>
      <c r="BM6" t="s">
        <v>335</v>
      </c>
      <c r="BN6">
        <v>24.69</v>
      </c>
    </row>
    <row r="7" spans="2:80" x14ac:dyDescent="0.25">
      <c r="B7" t="str">
        <f ca="1"/>
        <v>L01 FAB LAB 06</v>
      </c>
      <c r="C7">
        <f ca="1"/>
        <v>2</v>
      </c>
      <c r="D7">
        <f ca="1"/>
        <v>1.6</v>
      </c>
      <c r="E7">
        <f ca="1"/>
        <v>6</v>
      </c>
      <c r="F7">
        <f ca="1"/>
        <v>2</v>
      </c>
      <c r="G7">
        <f ca="1"/>
        <v>32</v>
      </c>
      <c r="AB7" t="s">
        <v>259</v>
      </c>
      <c r="AC7" t="s">
        <v>260</v>
      </c>
      <c r="BF7" t="s">
        <v>303</v>
      </c>
      <c r="BG7" t="s">
        <v>245</v>
      </c>
      <c r="BH7" t="s">
        <v>340</v>
      </c>
      <c r="BI7" t="s">
        <v>304</v>
      </c>
      <c r="BJ7">
        <v>18.399999999999999</v>
      </c>
      <c r="BK7" t="s">
        <v>305</v>
      </c>
      <c r="BL7">
        <v>31.92</v>
      </c>
      <c r="BM7" t="s">
        <v>308</v>
      </c>
      <c r="BN7">
        <v>24.65</v>
      </c>
    </row>
    <row r="8" spans="2:80" x14ac:dyDescent="0.25">
      <c r="B8" t="str">
        <f ca="1"/>
        <v>L01 FAB LAB 07</v>
      </c>
      <c r="C8">
        <f ca="1"/>
        <v>2</v>
      </c>
      <c r="D8">
        <f ca="1"/>
        <v>2.8</v>
      </c>
      <c r="E8">
        <f ca="1"/>
        <v>8</v>
      </c>
      <c r="F8">
        <f ca="1"/>
        <v>3</v>
      </c>
      <c r="G8">
        <f ca="1"/>
        <v>32.4</v>
      </c>
      <c r="AB8" t="s">
        <v>261</v>
      </c>
      <c r="AC8" t="s">
        <v>326</v>
      </c>
      <c r="BF8" t="s">
        <v>303</v>
      </c>
      <c r="BG8" t="s">
        <v>247</v>
      </c>
      <c r="BH8" t="s">
        <v>340</v>
      </c>
      <c r="BI8" t="s">
        <v>304</v>
      </c>
      <c r="BJ8">
        <v>18.46</v>
      </c>
      <c r="BK8" t="s">
        <v>305</v>
      </c>
      <c r="BL8">
        <v>31.11</v>
      </c>
      <c r="BM8" t="s">
        <v>336</v>
      </c>
      <c r="BN8">
        <v>24.71</v>
      </c>
    </row>
    <row r="9" spans="2:80" x14ac:dyDescent="0.25">
      <c r="B9" t="str">
        <f ca="1"/>
        <v>L01 FAB LAB 08</v>
      </c>
      <c r="C9">
        <f ca="1"/>
        <v>2</v>
      </c>
      <c r="D9">
        <f ca="1"/>
        <v>1.7</v>
      </c>
      <c r="E9">
        <f ca="1"/>
        <v>7</v>
      </c>
      <c r="F9">
        <f ca="1"/>
        <v>2</v>
      </c>
      <c r="G9">
        <f ca="1"/>
        <v>31.9</v>
      </c>
      <c r="N9" s="3"/>
      <c r="O9" s="3"/>
      <c r="AB9" t="s">
        <v>263</v>
      </c>
      <c r="AC9">
        <v>153</v>
      </c>
      <c r="AD9">
        <v>46143</v>
      </c>
      <c r="AE9">
        <v>46295</v>
      </c>
      <c r="BF9" t="s">
        <v>303</v>
      </c>
      <c r="BG9" t="s">
        <v>249</v>
      </c>
      <c r="BH9" t="s">
        <v>340</v>
      </c>
      <c r="BI9" t="s">
        <v>304</v>
      </c>
      <c r="BJ9">
        <v>18.32</v>
      </c>
      <c r="BK9" t="s">
        <v>305</v>
      </c>
      <c r="BL9">
        <v>32.24</v>
      </c>
      <c r="BM9" t="s">
        <v>306</v>
      </c>
      <c r="BN9">
        <v>24.91</v>
      </c>
    </row>
    <row r="10" spans="2:80" x14ac:dyDescent="0.25">
      <c r="B10" t="str">
        <f ca="1"/>
        <v>L01 FAB LAB 09</v>
      </c>
      <c r="C10">
        <f ca="1"/>
        <v>2</v>
      </c>
      <c r="D10">
        <f ca="1"/>
        <v>3.1</v>
      </c>
      <c r="E10">
        <f ca="1"/>
        <v>6</v>
      </c>
      <c r="F10">
        <f ca="1"/>
        <v>2</v>
      </c>
      <c r="G10">
        <f ca="1"/>
        <v>32.200000000000003</v>
      </c>
      <c r="N10" s="3"/>
      <c r="O10" s="3"/>
      <c r="AB10" t="s">
        <v>264</v>
      </c>
      <c r="AC10">
        <v>153</v>
      </c>
      <c r="AD10">
        <v>46143</v>
      </c>
      <c r="AE10">
        <v>46295</v>
      </c>
      <c r="BF10" t="s">
        <v>303</v>
      </c>
      <c r="BG10" t="s">
        <v>251</v>
      </c>
      <c r="BH10" t="s">
        <v>340</v>
      </c>
      <c r="BI10" t="s">
        <v>304</v>
      </c>
      <c r="BJ10">
        <v>18.46</v>
      </c>
      <c r="BK10" t="s">
        <v>307</v>
      </c>
      <c r="BL10">
        <v>30.64</v>
      </c>
      <c r="BM10" t="s">
        <v>325</v>
      </c>
      <c r="BN10">
        <v>24.82</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0.5</v>
      </c>
      <c r="AF20">
        <v>2</v>
      </c>
      <c r="AG20">
        <v>1</v>
      </c>
      <c r="AH20" t="s">
        <v>281</v>
      </c>
    </row>
    <row r="21" spans="28:34" x14ac:dyDescent="0.25">
      <c r="AB21" t="s">
        <v>236</v>
      </c>
      <c r="AC21" t="s">
        <v>282</v>
      </c>
      <c r="AD21">
        <v>100</v>
      </c>
      <c r="AE21">
        <v>0.7</v>
      </c>
      <c r="AF21">
        <v>3</v>
      </c>
      <c r="AG21">
        <v>1</v>
      </c>
      <c r="AH21" t="s">
        <v>281</v>
      </c>
    </row>
    <row r="22" spans="28:34" x14ac:dyDescent="0.25">
      <c r="AB22" t="s">
        <v>238</v>
      </c>
      <c r="AC22" t="s">
        <v>283</v>
      </c>
      <c r="AD22">
        <v>100</v>
      </c>
      <c r="AE22">
        <v>0.5</v>
      </c>
      <c r="AF22">
        <v>3</v>
      </c>
      <c r="AG22">
        <v>1</v>
      </c>
      <c r="AH22" t="s">
        <v>281</v>
      </c>
    </row>
    <row r="23" spans="28:34" x14ac:dyDescent="0.25">
      <c r="AB23" t="s">
        <v>240</v>
      </c>
      <c r="AC23" t="s">
        <v>284</v>
      </c>
      <c r="AD23">
        <v>100</v>
      </c>
      <c r="AE23">
        <v>1.6</v>
      </c>
      <c r="AF23">
        <v>6</v>
      </c>
      <c r="AG23">
        <v>2</v>
      </c>
      <c r="AH23" t="s">
        <v>281</v>
      </c>
    </row>
    <row r="24" spans="28:34" x14ac:dyDescent="0.25">
      <c r="AB24" t="s">
        <v>243</v>
      </c>
      <c r="AC24" t="s">
        <v>285</v>
      </c>
      <c r="AD24">
        <v>100</v>
      </c>
      <c r="AE24">
        <v>2.8</v>
      </c>
      <c r="AF24">
        <v>8</v>
      </c>
      <c r="AG24">
        <v>3</v>
      </c>
      <c r="AH24">
        <v>2</v>
      </c>
    </row>
    <row r="25" spans="28:34" x14ac:dyDescent="0.25">
      <c r="AB25" t="s">
        <v>245</v>
      </c>
      <c r="AC25" t="s">
        <v>286</v>
      </c>
      <c r="AD25">
        <v>100</v>
      </c>
      <c r="AE25">
        <v>1.7</v>
      </c>
      <c r="AF25">
        <v>7</v>
      </c>
      <c r="AG25">
        <v>2</v>
      </c>
      <c r="AH25">
        <v>2</v>
      </c>
    </row>
    <row r="26" spans="28:34" x14ac:dyDescent="0.25">
      <c r="AB26" t="s">
        <v>247</v>
      </c>
      <c r="AC26" t="s">
        <v>287</v>
      </c>
      <c r="AD26">
        <v>100</v>
      </c>
      <c r="AE26">
        <v>0.6</v>
      </c>
      <c r="AF26">
        <v>3</v>
      </c>
      <c r="AG26">
        <v>1</v>
      </c>
      <c r="AH26" t="s">
        <v>281</v>
      </c>
    </row>
    <row r="27" spans="28:34" x14ac:dyDescent="0.25">
      <c r="AB27" t="s">
        <v>249</v>
      </c>
      <c r="AC27" t="s">
        <v>288</v>
      </c>
      <c r="AD27">
        <v>100</v>
      </c>
      <c r="AE27">
        <v>3.1</v>
      </c>
      <c r="AF27">
        <v>6</v>
      </c>
      <c r="AG27">
        <v>2</v>
      </c>
      <c r="AH27">
        <v>1</v>
      </c>
    </row>
    <row r="28" spans="28:34" x14ac:dyDescent="0.25">
      <c r="AB28" t="s">
        <v>251</v>
      </c>
      <c r="AC28" t="s">
        <v>289</v>
      </c>
      <c r="AD28">
        <v>100</v>
      </c>
      <c r="AE28">
        <v>0.1</v>
      </c>
      <c r="AF28">
        <v>1</v>
      </c>
      <c r="AG28">
        <v>1</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0E06-BCED-473E-A35E-E352683863FD}">
  <dimension ref="B1:CB39"/>
  <sheetViews>
    <sheetView zoomScale="85" zoomScaleNormal="85" workbookViewId="0">
      <selection activeCell="BO20" sqref="BO20"/>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8" width="8.85546875" customWidth="1"/>
    <col min="29" max="39" width="8.85546875" hidden="1"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0.6</v>
      </c>
      <c r="E2" cm="1">
        <f t="array" aca="1" ref="E2:E10" ca="1">IF(_xlfn.ANCHORARRAY(C2)=1,VLOOKUP(_xlfn.ANCHORARRAY(B2),L:Y,5,FALSE),IF(_xlfn.ANCHORARRAY(C2)=2,VLOOKUP(_xlfn.ANCHORARRAY(B2),AB:AN,5,FALSE),IF(_xlfn.ANCHORARRAY(C2)=3,VLOOKUP(_xlfn.ANCHORARRAY(B2),AQ:BC,5,FALSE))))</f>
        <v>4</v>
      </c>
      <c r="F2" cm="1">
        <f t="array" aca="1" ref="F2:F10" ca="1">IF(_xlfn.ANCHORARRAY(C2)=1,VLOOKUP(_xlfn.ANCHORARRAY(B2),L:Y,6,FALSE),IF(_xlfn.ANCHORARRAY(C2)=2,VLOOKUP(_xlfn.ANCHORARRAY(B2),AB:AN,6,FALSE),IF(_xlfn.ANCHORARRAY(C2)=3,VLOOKUP(_xlfn.ANCHORARRAY(B2),AQ:BC,6,FALSE))))</f>
        <v>1</v>
      </c>
      <c r="G2" cm="1">
        <f t="array" aca="1" ref="G2:G10" ca="1">ROUND(VLOOKUP(_xlfn.ANCHORARRAY(B2),BG:BL,6,FALSE),1)</f>
        <v>31.7</v>
      </c>
      <c r="H2">
        <f>BZ2</f>
        <v>39.9</v>
      </c>
      <c r="AB2" s="40" t="s">
        <v>253</v>
      </c>
      <c r="AC2" t="s">
        <v>254</v>
      </c>
      <c r="AQ2" s="40"/>
      <c r="BF2" t="s">
        <v>303</v>
      </c>
      <c r="BG2" t="s">
        <v>215</v>
      </c>
      <c r="BH2" t="s">
        <v>341</v>
      </c>
      <c r="BI2" t="s">
        <v>304</v>
      </c>
      <c r="BJ2">
        <v>19.37</v>
      </c>
      <c r="BK2" t="s">
        <v>342</v>
      </c>
      <c r="BL2">
        <v>31.7</v>
      </c>
      <c r="BM2" t="s">
        <v>316</v>
      </c>
      <c r="BN2">
        <v>24.13</v>
      </c>
      <c r="BT2" t="s">
        <v>309</v>
      </c>
      <c r="BV2" t="s">
        <v>327</v>
      </c>
      <c r="BW2" t="s">
        <v>304</v>
      </c>
      <c r="BX2">
        <v>5.6</v>
      </c>
      <c r="BY2" t="s">
        <v>313</v>
      </c>
      <c r="BZ2">
        <v>39.9</v>
      </c>
      <c r="CA2" t="s">
        <v>314</v>
      </c>
      <c r="CB2">
        <v>19.649999999999999</v>
      </c>
    </row>
    <row r="3" spans="2:80" ht="15.75" thickBot="1" x14ac:dyDescent="0.3">
      <c r="B3" t="str">
        <f ca="1"/>
        <v>L00 FAB LAB 02</v>
      </c>
      <c r="C3">
        <f ca="1"/>
        <v>2</v>
      </c>
      <c r="D3">
        <f ca="1"/>
        <v>0.7</v>
      </c>
      <c r="E3">
        <f ca="1"/>
        <v>4</v>
      </c>
      <c r="F3">
        <f ca="1"/>
        <v>1</v>
      </c>
      <c r="G3">
        <f ca="1"/>
        <v>31.7</v>
      </c>
      <c r="J3" s="5" t="s">
        <v>4</v>
      </c>
      <c r="K3" s="6"/>
      <c r="Z3" s="5" t="s">
        <v>4</v>
      </c>
      <c r="AA3" s="6"/>
      <c r="AB3" s="40" t="s">
        <v>255</v>
      </c>
      <c r="AC3" t="s">
        <v>256</v>
      </c>
      <c r="AO3" s="5" t="s">
        <v>4</v>
      </c>
      <c r="AP3" s="6"/>
      <c r="AQ3" s="40"/>
      <c r="BD3" s="5" t="s">
        <v>4</v>
      </c>
      <c r="BF3" t="s">
        <v>303</v>
      </c>
      <c r="BG3" t="s">
        <v>236</v>
      </c>
      <c r="BH3" t="s">
        <v>341</v>
      </c>
      <c r="BI3" t="s">
        <v>304</v>
      </c>
      <c r="BJ3">
        <v>19.420000000000002</v>
      </c>
      <c r="BK3" t="s">
        <v>315</v>
      </c>
      <c r="BL3">
        <v>31.69</v>
      </c>
      <c r="BM3" t="s">
        <v>317</v>
      </c>
      <c r="BN3">
        <v>24.21</v>
      </c>
      <c r="BR3" s="5" t="s">
        <v>4</v>
      </c>
    </row>
    <row r="4" spans="2:80" ht="30.75" thickBot="1" x14ac:dyDescent="0.3">
      <c r="B4" t="str">
        <f ca="1"/>
        <v>L00 FAB LAB 03</v>
      </c>
      <c r="C4">
        <f ca="1"/>
        <v>2</v>
      </c>
      <c r="D4">
        <f ca="1"/>
        <v>0.9</v>
      </c>
      <c r="E4">
        <f ca="1"/>
        <v>7</v>
      </c>
      <c r="F4">
        <f ca="1"/>
        <v>2</v>
      </c>
      <c r="G4">
        <f ca="1"/>
        <v>32.299999999999997</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341</v>
      </c>
      <c r="BI4" t="s">
        <v>304</v>
      </c>
      <c r="BJ4">
        <v>19.510000000000002</v>
      </c>
      <c r="BK4" t="s">
        <v>315</v>
      </c>
      <c r="BL4">
        <v>32.28</v>
      </c>
      <c r="BM4" t="s">
        <v>316</v>
      </c>
      <c r="BN4">
        <v>24.24</v>
      </c>
      <c r="BR4" s="4" t="str">
        <f>_xlfn.CONCAT("1. Paste min/max Tdb into cell ",ADDRESS(1,COLUMN(BT1)))</f>
        <v>1. Paste min/max Tdb into cell $BT$1</v>
      </c>
    </row>
    <row r="5" spans="2:80" x14ac:dyDescent="0.25">
      <c r="B5" t="str">
        <f ca="1"/>
        <v>L00 FAB LAB 04</v>
      </c>
      <c r="C5">
        <f ca="1"/>
        <v>2</v>
      </c>
      <c r="D5">
        <f ca="1"/>
        <v>0.7</v>
      </c>
      <c r="E5">
        <f ca="1"/>
        <v>5</v>
      </c>
      <c r="F5">
        <f ca="1"/>
        <v>2</v>
      </c>
      <c r="G5">
        <f ca="1"/>
        <v>31.8</v>
      </c>
      <c r="BF5" t="s">
        <v>303</v>
      </c>
      <c r="BG5" t="s">
        <v>240</v>
      </c>
      <c r="BH5" t="s">
        <v>341</v>
      </c>
      <c r="BI5" t="s">
        <v>304</v>
      </c>
      <c r="BJ5">
        <v>19.13</v>
      </c>
      <c r="BK5" t="s">
        <v>315</v>
      </c>
      <c r="BL5">
        <v>33.06</v>
      </c>
      <c r="BM5" t="s">
        <v>317</v>
      </c>
      <c r="BN5">
        <v>24.27</v>
      </c>
    </row>
    <row r="6" spans="2:80" x14ac:dyDescent="0.25">
      <c r="B6" t="str">
        <f ca="1"/>
        <v>L01 FAB LAB 05</v>
      </c>
      <c r="C6">
        <f ca="1"/>
        <v>2</v>
      </c>
      <c r="D6">
        <f ca="1"/>
        <v>0.2</v>
      </c>
      <c r="E6">
        <f ca="1"/>
        <v>3</v>
      </c>
      <c r="F6">
        <f ca="1"/>
        <v>1</v>
      </c>
      <c r="G6">
        <f ca="1"/>
        <v>31.3</v>
      </c>
      <c r="AB6" t="s">
        <v>258</v>
      </c>
      <c r="BF6" t="s">
        <v>303</v>
      </c>
      <c r="BG6" t="s">
        <v>243</v>
      </c>
      <c r="BH6" t="s">
        <v>341</v>
      </c>
      <c r="BI6" t="s">
        <v>304</v>
      </c>
      <c r="BJ6">
        <v>19.2</v>
      </c>
      <c r="BK6" t="s">
        <v>315</v>
      </c>
      <c r="BL6">
        <v>33.17</v>
      </c>
      <c r="BM6" t="s">
        <v>316</v>
      </c>
      <c r="BN6">
        <v>24.36</v>
      </c>
    </row>
    <row r="7" spans="2:80" x14ac:dyDescent="0.25">
      <c r="B7" t="str">
        <f ca="1"/>
        <v>L01 FAB LAB 06</v>
      </c>
      <c r="C7">
        <f ca="1"/>
        <v>2</v>
      </c>
      <c r="D7">
        <f ca="1"/>
        <v>2</v>
      </c>
      <c r="E7">
        <f ca="1"/>
        <v>9</v>
      </c>
      <c r="F7">
        <f ca="1"/>
        <v>3</v>
      </c>
      <c r="G7">
        <f ca="1"/>
        <v>33.1</v>
      </c>
      <c r="AB7" t="s">
        <v>259</v>
      </c>
      <c r="AC7" t="s">
        <v>260</v>
      </c>
      <c r="BF7" t="s">
        <v>303</v>
      </c>
      <c r="BG7" t="s">
        <v>245</v>
      </c>
      <c r="BH7" t="s">
        <v>341</v>
      </c>
      <c r="BI7" t="s">
        <v>304</v>
      </c>
      <c r="BJ7">
        <v>19.23</v>
      </c>
      <c r="BK7" t="s">
        <v>315</v>
      </c>
      <c r="BL7">
        <v>33.33</v>
      </c>
      <c r="BM7" t="s">
        <v>316</v>
      </c>
      <c r="BN7">
        <v>24.32</v>
      </c>
    </row>
    <row r="8" spans="2:80" x14ac:dyDescent="0.25">
      <c r="B8" t="str">
        <f ca="1"/>
        <v>L01 FAB LAB 07</v>
      </c>
      <c r="C8">
        <f ca="1"/>
        <v>2</v>
      </c>
      <c r="D8">
        <f ca="1"/>
        <v>2.4</v>
      </c>
      <c r="E8">
        <f ca="1"/>
        <v>11</v>
      </c>
      <c r="F8">
        <f ca="1"/>
        <v>3</v>
      </c>
      <c r="G8">
        <f ca="1"/>
        <v>33.200000000000003</v>
      </c>
      <c r="AB8" t="s">
        <v>261</v>
      </c>
      <c r="AC8" t="s">
        <v>327</v>
      </c>
      <c r="BF8" t="s">
        <v>303</v>
      </c>
      <c r="BG8" t="s">
        <v>247</v>
      </c>
      <c r="BH8" t="s">
        <v>341</v>
      </c>
      <c r="BI8" t="s">
        <v>304</v>
      </c>
      <c r="BJ8">
        <v>19.489999999999998</v>
      </c>
      <c r="BK8" t="s">
        <v>315</v>
      </c>
      <c r="BL8">
        <v>31.8</v>
      </c>
      <c r="BM8" t="s">
        <v>316</v>
      </c>
      <c r="BN8">
        <v>24.44</v>
      </c>
    </row>
    <row r="9" spans="2:80" x14ac:dyDescent="0.25">
      <c r="B9" t="str">
        <f ca="1"/>
        <v>L01 FAB LAB 08</v>
      </c>
      <c r="C9">
        <f ca="1"/>
        <v>2</v>
      </c>
      <c r="D9">
        <f ca="1"/>
        <v>2.2999999999999998</v>
      </c>
      <c r="E9">
        <f ca="1"/>
        <v>12</v>
      </c>
      <c r="F9">
        <f ca="1"/>
        <v>3</v>
      </c>
      <c r="G9">
        <f ca="1"/>
        <v>33.299999999999997</v>
      </c>
      <c r="N9" s="3"/>
      <c r="O9" s="3"/>
      <c r="AB9" t="s">
        <v>263</v>
      </c>
      <c r="AC9">
        <v>153</v>
      </c>
      <c r="AD9">
        <v>46143</v>
      </c>
      <c r="AE9">
        <v>46295</v>
      </c>
      <c r="BF9" t="s">
        <v>303</v>
      </c>
      <c r="BG9" t="s">
        <v>249</v>
      </c>
      <c r="BH9" t="s">
        <v>341</v>
      </c>
      <c r="BI9" t="s">
        <v>304</v>
      </c>
      <c r="BJ9">
        <v>19.239999999999998</v>
      </c>
      <c r="BK9" t="s">
        <v>315</v>
      </c>
      <c r="BL9">
        <v>32.94</v>
      </c>
      <c r="BM9" t="s">
        <v>316</v>
      </c>
      <c r="BN9">
        <v>24.59</v>
      </c>
    </row>
    <row r="10" spans="2:80" x14ac:dyDescent="0.25">
      <c r="B10" t="str">
        <f ca="1"/>
        <v>L01 FAB LAB 09</v>
      </c>
      <c r="C10">
        <f ca="1"/>
        <v>2</v>
      </c>
      <c r="D10">
        <f ca="1"/>
        <v>2.5</v>
      </c>
      <c r="E10">
        <f ca="1"/>
        <v>8</v>
      </c>
      <c r="F10">
        <f ca="1"/>
        <v>3</v>
      </c>
      <c r="G10">
        <f ca="1"/>
        <v>32.9</v>
      </c>
      <c r="N10" s="3"/>
      <c r="O10" s="3"/>
      <c r="AB10" t="s">
        <v>264</v>
      </c>
      <c r="AC10">
        <v>153</v>
      </c>
      <c r="AD10">
        <v>46143</v>
      </c>
      <c r="AE10">
        <v>46295</v>
      </c>
      <c r="BF10" t="s">
        <v>303</v>
      </c>
      <c r="BG10" t="s">
        <v>251</v>
      </c>
      <c r="BH10" t="s">
        <v>341</v>
      </c>
      <c r="BI10" t="s">
        <v>304</v>
      </c>
      <c r="BJ10">
        <v>19.66</v>
      </c>
      <c r="BK10" t="s">
        <v>318</v>
      </c>
      <c r="BL10">
        <v>31.31</v>
      </c>
      <c r="BM10" t="s">
        <v>317</v>
      </c>
      <c r="BN10">
        <v>24.52</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0.6</v>
      </c>
      <c r="AF20">
        <v>4</v>
      </c>
      <c r="AG20">
        <v>1</v>
      </c>
      <c r="AH20" t="s">
        <v>281</v>
      </c>
    </row>
    <row r="21" spans="28:34" x14ac:dyDescent="0.25">
      <c r="AB21" t="s">
        <v>236</v>
      </c>
      <c r="AC21" t="s">
        <v>282</v>
      </c>
      <c r="AD21">
        <v>100</v>
      </c>
      <c r="AE21">
        <v>0.7</v>
      </c>
      <c r="AF21">
        <v>4</v>
      </c>
      <c r="AG21">
        <v>1</v>
      </c>
      <c r="AH21" t="s">
        <v>281</v>
      </c>
    </row>
    <row r="22" spans="28:34" x14ac:dyDescent="0.25">
      <c r="AB22" t="s">
        <v>238</v>
      </c>
      <c r="AC22" t="s">
        <v>283</v>
      </c>
      <c r="AD22">
        <v>100</v>
      </c>
      <c r="AE22">
        <v>0.9</v>
      </c>
      <c r="AF22">
        <v>7</v>
      </c>
      <c r="AG22">
        <v>2</v>
      </c>
      <c r="AH22">
        <v>2</v>
      </c>
    </row>
    <row r="23" spans="28:34" x14ac:dyDescent="0.25">
      <c r="AB23" t="s">
        <v>240</v>
      </c>
      <c r="AC23" t="s">
        <v>284</v>
      </c>
      <c r="AD23">
        <v>100</v>
      </c>
      <c r="AE23">
        <v>2</v>
      </c>
      <c r="AF23">
        <v>9</v>
      </c>
      <c r="AG23">
        <v>3</v>
      </c>
      <c r="AH23">
        <v>2</v>
      </c>
    </row>
    <row r="24" spans="28:34" x14ac:dyDescent="0.25">
      <c r="AB24" t="s">
        <v>243</v>
      </c>
      <c r="AC24" t="s">
        <v>285</v>
      </c>
      <c r="AD24">
        <v>100</v>
      </c>
      <c r="AE24">
        <v>2.4</v>
      </c>
      <c r="AF24">
        <v>11</v>
      </c>
      <c r="AG24">
        <v>3</v>
      </c>
      <c r="AH24">
        <v>2</v>
      </c>
    </row>
    <row r="25" spans="28:34" x14ac:dyDescent="0.25">
      <c r="AB25" t="s">
        <v>245</v>
      </c>
      <c r="AC25" t="s">
        <v>286</v>
      </c>
      <c r="AD25">
        <v>100</v>
      </c>
      <c r="AE25">
        <v>2.2999999999999998</v>
      </c>
      <c r="AF25">
        <v>12</v>
      </c>
      <c r="AG25">
        <v>3</v>
      </c>
      <c r="AH25">
        <v>2</v>
      </c>
    </row>
    <row r="26" spans="28:34" x14ac:dyDescent="0.25">
      <c r="AB26" t="s">
        <v>247</v>
      </c>
      <c r="AC26" t="s">
        <v>287</v>
      </c>
      <c r="AD26">
        <v>100</v>
      </c>
      <c r="AE26">
        <v>0.7</v>
      </c>
      <c r="AF26">
        <v>5</v>
      </c>
      <c r="AG26">
        <v>2</v>
      </c>
      <c r="AH26" t="s">
        <v>281</v>
      </c>
    </row>
    <row r="27" spans="28:34" x14ac:dyDescent="0.25">
      <c r="AB27" t="s">
        <v>249</v>
      </c>
      <c r="AC27" t="s">
        <v>288</v>
      </c>
      <c r="AD27">
        <v>100</v>
      </c>
      <c r="AE27">
        <v>2.5</v>
      </c>
      <c r="AF27">
        <v>8</v>
      </c>
      <c r="AG27">
        <v>3</v>
      </c>
      <c r="AH27">
        <v>2</v>
      </c>
    </row>
    <row r="28" spans="28:34" x14ac:dyDescent="0.25">
      <c r="AB28" t="s">
        <v>251</v>
      </c>
      <c r="AC28" t="s">
        <v>289</v>
      </c>
      <c r="AD28">
        <v>100</v>
      </c>
      <c r="AE28">
        <v>0.2</v>
      </c>
      <c r="AF28">
        <v>3</v>
      </c>
      <c r="AG28">
        <v>1</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6EAF-19B6-40DE-90C9-867181AFA929}">
  <dimension ref="B1:CB39"/>
  <sheetViews>
    <sheetView zoomScale="85" zoomScaleNormal="85" workbookViewId="0">
      <selection activeCell="AF9" sqref="AF9:AG10"/>
    </sheetView>
  </sheetViews>
  <sheetFormatPr defaultRowHeight="15" x14ac:dyDescent="0.25"/>
  <cols>
    <col min="1" max="1" width="11.42578125" customWidth="1"/>
    <col min="2" max="2" width="15.85546875" hidden="1" customWidth="1"/>
    <col min="3" max="5" width="15.42578125" hidden="1" customWidth="1"/>
    <col min="6" max="8" width="17.140625" hidden="1" customWidth="1"/>
    <col min="9" max="9" width="6.85546875" hidden="1" customWidth="1"/>
    <col min="10" max="10" width="27.85546875" customWidth="1"/>
    <col min="11" max="11" width="8.140625" customWidth="1"/>
    <col min="12" max="12" width="9.140625" style="40"/>
    <col min="13" max="24" width="8.85546875" hidden="1" customWidth="1"/>
    <col min="25" max="25" width="8.85546875" customWidth="1"/>
    <col min="26" max="26" width="27.42578125" customWidth="1"/>
    <col min="27" max="27" width="8.85546875" customWidth="1"/>
    <col min="28" max="40" width="22.85546875" customWidth="1"/>
    <col min="41" max="41" width="31.42578125" customWidth="1"/>
    <col min="44" max="45" width="8.85546875" hidden="1" customWidth="1"/>
    <col min="46" max="46" width="0" hidden="1" customWidth="1"/>
    <col min="47" max="48" width="8.85546875" hidden="1" customWidth="1"/>
    <col min="49" max="49" width="0" hidden="1" customWidth="1"/>
    <col min="50" max="50" width="31.85546875" hidden="1" customWidth="1"/>
    <col min="51" max="52" width="0" hidden="1" customWidth="1"/>
    <col min="53" max="54" width="8.85546875" hidden="1" customWidth="1"/>
    <col min="55" max="55" width="8.85546875" customWidth="1"/>
    <col min="56" max="56" width="19.42578125" customWidth="1"/>
    <col min="59" max="66" width="8.85546875" hidden="1" customWidth="1"/>
    <col min="68" max="69" width="8.85546875" hidden="1" customWidth="1"/>
    <col min="70" max="70" width="17.5703125" customWidth="1"/>
    <col min="71" max="72" width="8.85546875" customWidth="1"/>
    <col min="73" max="78" width="8.85546875" hidden="1" customWidth="1"/>
    <col min="79" max="80" width="0" hidden="1" customWidth="1"/>
  </cols>
  <sheetData>
    <row r="1" spans="2:80" x14ac:dyDescent="0.25">
      <c r="B1" s="1" t="s">
        <v>2</v>
      </c>
      <c r="C1" s="1" t="s">
        <v>116</v>
      </c>
      <c r="D1" s="1" t="s">
        <v>5</v>
      </c>
      <c r="E1" s="1" t="s">
        <v>118</v>
      </c>
      <c r="F1" s="1" t="s">
        <v>119</v>
      </c>
      <c r="G1" s="1" t="s">
        <v>6</v>
      </c>
      <c r="H1" s="1" t="s">
        <v>132</v>
      </c>
      <c r="I1" s="1"/>
      <c r="J1" s="1" t="s">
        <v>111</v>
      </c>
      <c r="K1" s="1"/>
      <c r="L1" s="39"/>
      <c r="M1" s="143"/>
      <c r="N1" s="143"/>
      <c r="O1" s="143"/>
      <c r="P1" s="143"/>
      <c r="Q1" s="143"/>
      <c r="R1" s="143"/>
      <c r="S1" s="143"/>
      <c r="T1" s="143"/>
      <c r="U1" s="143"/>
      <c r="V1" s="143"/>
      <c r="W1" s="143"/>
      <c r="X1" s="143"/>
      <c r="Z1" s="1" t="s">
        <v>112</v>
      </c>
      <c r="AA1" s="1"/>
      <c r="AB1" s="39" t="s">
        <v>252</v>
      </c>
      <c r="AC1" s="143"/>
      <c r="AD1" s="143"/>
      <c r="AE1" s="143"/>
      <c r="AF1" s="143"/>
      <c r="AG1" s="143"/>
      <c r="AH1" s="143"/>
      <c r="AI1" s="143"/>
      <c r="AJ1" s="143"/>
      <c r="AK1" s="143"/>
      <c r="AL1" s="143"/>
      <c r="AM1" s="143"/>
      <c r="AO1" s="1" t="s">
        <v>113</v>
      </c>
      <c r="AP1" s="1"/>
      <c r="AQ1" s="39"/>
      <c r="AR1" s="143"/>
      <c r="AS1" s="143"/>
      <c r="AT1" s="143"/>
      <c r="AU1" s="143"/>
      <c r="AV1" s="143"/>
      <c r="AW1" s="143"/>
      <c r="AX1" s="143"/>
      <c r="AY1" s="143"/>
      <c r="AZ1" s="143"/>
      <c r="BA1" s="143"/>
      <c r="BB1" s="143"/>
      <c r="BD1" s="1" t="s">
        <v>6</v>
      </c>
      <c r="BF1" s="2" t="s">
        <v>294</v>
      </c>
      <c r="BG1" t="s">
        <v>295</v>
      </c>
      <c r="BH1" t="s">
        <v>296</v>
      </c>
      <c r="BI1" t="s">
        <v>297</v>
      </c>
      <c r="BJ1" t="s">
        <v>298</v>
      </c>
      <c r="BK1" t="s">
        <v>299</v>
      </c>
      <c r="BL1" t="s">
        <v>300</v>
      </c>
      <c r="BM1" t="s">
        <v>301</v>
      </c>
      <c r="BN1" t="s">
        <v>302</v>
      </c>
      <c r="BR1" s="1" t="s">
        <v>133</v>
      </c>
      <c r="BT1" s="2" t="s">
        <v>294</v>
      </c>
      <c r="BU1" t="s">
        <v>295</v>
      </c>
      <c r="BV1" t="s">
        <v>296</v>
      </c>
      <c r="BW1" t="s">
        <v>297</v>
      </c>
      <c r="BX1" t="s">
        <v>298</v>
      </c>
      <c r="BY1" t="s">
        <v>299</v>
      </c>
      <c r="BZ1" t="s">
        <v>300</v>
      </c>
      <c r="CA1" t="s">
        <v>301</v>
      </c>
      <c r="CB1" t="s">
        <v>302</v>
      </c>
    </row>
    <row r="2" spans="2:80" ht="15.75" thickBot="1" x14ac:dyDescent="0.3">
      <c r="B2" t="str" cm="1">
        <f t="array" aca="1" ref="B2:B10" ca="1">_xlfn.ANCHORARRAY('ID sheet'!B3)</f>
        <v>L00 FAB LAB 01</v>
      </c>
      <c r="C2" cm="1">
        <f t="array" aca="1" ref="C2:C10" ca="1">_xlfn.ANCHORARRAY('ID sheet'!D3)</f>
        <v>2</v>
      </c>
      <c r="D2" cm="1">
        <f t="array" aca="1" ref="D2:D10" ca="1">IF(_xlfn.ANCHORARRAY(C2)=1,VLOOKUP(_xlfn.ANCHORARRAY(B2),L:Y,4,FALSE),IF(_xlfn.ANCHORARRAY(C2)=2,VLOOKUP(_xlfn.ANCHORARRAY(B2),AB:AN,4,FALSE),IF(_xlfn.ANCHORARRAY(C2)=3,VLOOKUP(_xlfn.ANCHORARRAY(B2),AQ:BC,4,FALSE))))</f>
        <v>0.5</v>
      </c>
      <c r="E2" cm="1">
        <f t="array" aca="1" ref="E2:E10" ca="1">IF(_xlfn.ANCHORARRAY(C2)=1,VLOOKUP(_xlfn.ANCHORARRAY(B2),L:Y,5,FALSE),IF(_xlfn.ANCHORARRAY(C2)=2,VLOOKUP(_xlfn.ANCHORARRAY(B2),AB:AN,5,FALSE),IF(_xlfn.ANCHORARRAY(C2)=3,VLOOKUP(_xlfn.ANCHORARRAY(B2),AQ:BC,5,FALSE))))</f>
        <v>2</v>
      </c>
      <c r="F2" cm="1">
        <f t="array" aca="1" ref="F2:F10" ca="1">IF(_xlfn.ANCHORARRAY(C2)=1,VLOOKUP(_xlfn.ANCHORARRAY(B2),L:Y,6,FALSE),IF(_xlfn.ANCHORARRAY(C2)=2,VLOOKUP(_xlfn.ANCHORARRAY(B2),AB:AN,6,FALSE),IF(_xlfn.ANCHORARRAY(C2)=3,VLOOKUP(_xlfn.ANCHORARRAY(B2),AQ:BC,6,FALSE))))</f>
        <v>1</v>
      </c>
      <c r="G2" cm="1">
        <f t="array" aca="1" ref="G2:G10" ca="1">ROUND(VLOOKUP(_xlfn.ANCHORARRAY(B2),BG:BL,6,FALSE),1)</f>
        <v>31.4</v>
      </c>
      <c r="H2">
        <f>BZ2</f>
        <v>36.299999999999997</v>
      </c>
      <c r="AB2" s="40" t="s">
        <v>253</v>
      </c>
      <c r="AC2" t="s">
        <v>254</v>
      </c>
      <c r="AQ2" s="40"/>
      <c r="BF2" t="s">
        <v>303</v>
      </c>
      <c r="BG2" t="s">
        <v>215</v>
      </c>
      <c r="BH2" t="s">
        <v>343</v>
      </c>
      <c r="BI2" t="s">
        <v>304</v>
      </c>
      <c r="BJ2">
        <v>17.62</v>
      </c>
      <c r="BK2" t="s">
        <v>305</v>
      </c>
      <c r="BL2">
        <v>31.37</v>
      </c>
      <c r="BM2" t="s">
        <v>339</v>
      </c>
      <c r="BN2">
        <v>24.14</v>
      </c>
      <c r="BT2" t="s">
        <v>309</v>
      </c>
      <c r="BV2" t="s">
        <v>328</v>
      </c>
      <c r="BW2" t="s">
        <v>304</v>
      </c>
      <c r="BX2">
        <v>6.7</v>
      </c>
      <c r="BY2" t="s">
        <v>323</v>
      </c>
      <c r="BZ2">
        <v>36.299999999999997</v>
      </c>
      <c r="CA2" t="s">
        <v>324</v>
      </c>
      <c r="CB2">
        <v>19.73</v>
      </c>
    </row>
    <row r="3" spans="2:80" ht="15.75" thickBot="1" x14ac:dyDescent="0.3">
      <c r="B3" t="str">
        <f ca="1"/>
        <v>L00 FAB LAB 02</v>
      </c>
      <c r="C3">
        <f ca="1"/>
        <v>2</v>
      </c>
      <c r="D3">
        <f ca="1"/>
        <v>1.4</v>
      </c>
      <c r="E3">
        <f ca="1"/>
        <v>3</v>
      </c>
      <c r="F3">
        <f ca="1"/>
        <v>1</v>
      </c>
      <c r="G3">
        <f ca="1"/>
        <v>31.6</v>
      </c>
      <c r="J3" s="5" t="s">
        <v>4</v>
      </c>
      <c r="K3" s="6"/>
      <c r="Z3" s="5" t="s">
        <v>4</v>
      </c>
      <c r="AA3" s="6"/>
      <c r="AB3" s="40" t="s">
        <v>255</v>
      </c>
      <c r="AC3" t="s">
        <v>256</v>
      </c>
      <c r="AO3" s="5" t="s">
        <v>4</v>
      </c>
      <c r="AP3" s="6"/>
      <c r="AQ3" s="40"/>
      <c r="BD3" s="5" t="s">
        <v>4</v>
      </c>
      <c r="BF3" t="s">
        <v>303</v>
      </c>
      <c r="BG3" t="s">
        <v>236</v>
      </c>
      <c r="BH3" t="s">
        <v>343</v>
      </c>
      <c r="BI3" t="s">
        <v>304</v>
      </c>
      <c r="BJ3">
        <v>17.54</v>
      </c>
      <c r="BK3" t="s">
        <v>305</v>
      </c>
      <c r="BL3">
        <v>31.64</v>
      </c>
      <c r="BM3" t="s">
        <v>339</v>
      </c>
      <c r="BN3">
        <v>24.23</v>
      </c>
      <c r="BR3" s="5" t="s">
        <v>4</v>
      </c>
    </row>
    <row r="4" spans="2:80" ht="30.75" thickBot="1" x14ac:dyDescent="0.3">
      <c r="B4" t="str">
        <f ca="1"/>
        <v>L00 FAB LAB 03</v>
      </c>
      <c r="C4">
        <f ca="1"/>
        <v>2</v>
      </c>
      <c r="D4">
        <f ca="1"/>
        <v>0.9</v>
      </c>
      <c r="E4">
        <f ca="1"/>
        <v>3</v>
      </c>
      <c r="F4">
        <f ca="1"/>
        <v>1</v>
      </c>
      <c r="G4">
        <f ca="1"/>
        <v>31.6</v>
      </c>
      <c r="J4" s="4" t="str">
        <f>_xlfn.CONCAT("Paste TM52 results (Columns A:G) into cell ",ADDRESS(1,COLUMN(L1)))</f>
        <v>Paste TM52 results (Columns A:G) into cell $L$1</v>
      </c>
      <c r="K4" s="7"/>
      <c r="Z4" s="4" t="str">
        <f>_xlfn.CONCAT("Paste TM52 results (Columns A:G) into cell ",ADDRESS(1,COLUMN(AB1)))</f>
        <v>Paste TM52 results (Columns A:G) into cell $AB$1</v>
      </c>
      <c r="AA4" s="7"/>
      <c r="AB4" s="40" t="s">
        <v>257</v>
      </c>
      <c r="AC4" t="s">
        <v>256</v>
      </c>
      <c r="AO4" s="4" t="str">
        <f>_xlfn.CONCAT("Paste TM52 results (Columns A:G) into cell ",ADDRESS(1,COLUMN(AQ1)))</f>
        <v>Paste TM52 results (Columns A:G) into cell $AQ$1</v>
      </c>
      <c r="AP4" s="7"/>
      <c r="AQ4" s="40"/>
      <c r="BD4" s="4" t="str">
        <f>_xlfn.CONCAT("1. Paste min/max Tdr into cell ",ADDRESS(1,COLUMN(BF1)))</f>
        <v>1. Paste min/max Tdr into cell $BF$1</v>
      </c>
      <c r="BF4" t="s">
        <v>303</v>
      </c>
      <c r="BG4" t="s">
        <v>238</v>
      </c>
      <c r="BH4" t="s">
        <v>343</v>
      </c>
      <c r="BI4" t="s">
        <v>304</v>
      </c>
      <c r="BJ4">
        <v>17.739999999999998</v>
      </c>
      <c r="BK4" t="s">
        <v>305</v>
      </c>
      <c r="BL4">
        <v>31.59</v>
      </c>
      <c r="BM4" t="s">
        <v>322</v>
      </c>
      <c r="BN4">
        <v>24.26</v>
      </c>
      <c r="BR4" s="4" t="str">
        <f>_xlfn.CONCAT("1. Paste min/max Tdb into cell ",ADDRESS(1,COLUMN(BT1)))</f>
        <v>1. Paste min/max Tdb into cell $BT$1</v>
      </c>
    </row>
    <row r="5" spans="2:80" x14ac:dyDescent="0.25">
      <c r="B5" t="str">
        <f ca="1"/>
        <v>L00 FAB LAB 04</v>
      </c>
      <c r="C5">
        <f ca="1"/>
        <v>2</v>
      </c>
      <c r="D5">
        <f ca="1"/>
        <v>0.8</v>
      </c>
      <c r="E5">
        <f ca="1"/>
        <v>2</v>
      </c>
      <c r="F5">
        <f ca="1"/>
        <v>1</v>
      </c>
      <c r="G5">
        <f ca="1"/>
        <v>31.5</v>
      </c>
      <c r="BF5" t="s">
        <v>303</v>
      </c>
      <c r="BG5" t="s">
        <v>240</v>
      </c>
      <c r="BH5" t="s">
        <v>343</v>
      </c>
      <c r="BI5" t="s">
        <v>304</v>
      </c>
      <c r="BJ5">
        <v>17.489999999999998</v>
      </c>
      <c r="BK5" t="s">
        <v>305</v>
      </c>
      <c r="BL5">
        <v>32.22</v>
      </c>
      <c r="BM5" t="s">
        <v>339</v>
      </c>
      <c r="BN5">
        <v>24.29</v>
      </c>
    </row>
    <row r="6" spans="2:80" x14ac:dyDescent="0.25">
      <c r="B6" t="str">
        <f ca="1"/>
        <v>L01 FAB LAB 05</v>
      </c>
      <c r="C6">
        <f ca="1"/>
        <v>2</v>
      </c>
      <c r="D6">
        <f ca="1"/>
        <v>0</v>
      </c>
      <c r="E6">
        <f ca="1"/>
        <v>0</v>
      </c>
      <c r="F6">
        <f ca="1"/>
        <v>0</v>
      </c>
      <c r="G6">
        <f ca="1"/>
        <v>30.9</v>
      </c>
      <c r="AB6" t="s">
        <v>258</v>
      </c>
      <c r="BF6" t="s">
        <v>303</v>
      </c>
      <c r="BG6" t="s">
        <v>243</v>
      </c>
      <c r="BH6" t="s">
        <v>343</v>
      </c>
      <c r="BI6" t="s">
        <v>304</v>
      </c>
      <c r="BJ6">
        <v>17.489999999999998</v>
      </c>
      <c r="BK6" t="s">
        <v>305</v>
      </c>
      <c r="BL6">
        <v>32.69</v>
      </c>
      <c r="BM6" t="s">
        <v>320</v>
      </c>
      <c r="BN6">
        <v>24.4</v>
      </c>
    </row>
    <row r="7" spans="2:80" x14ac:dyDescent="0.25">
      <c r="B7" t="str">
        <f ca="1"/>
        <v>L01 FAB LAB 06</v>
      </c>
      <c r="C7">
        <f ca="1"/>
        <v>2</v>
      </c>
      <c r="D7">
        <f ca="1"/>
        <v>2.4</v>
      </c>
      <c r="E7">
        <f ca="1"/>
        <v>4</v>
      </c>
      <c r="F7">
        <f ca="1"/>
        <v>2</v>
      </c>
      <c r="G7">
        <f ca="1"/>
        <v>32.200000000000003</v>
      </c>
      <c r="AB7" t="s">
        <v>259</v>
      </c>
      <c r="AC7" t="s">
        <v>260</v>
      </c>
      <c r="BF7" t="s">
        <v>303</v>
      </c>
      <c r="BG7" t="s">
        <v>245</v>
      </c>
      <c r="BH7" t="s">
        <v>343</v>
      </c>
      <c r="BI7" t="s">
        <v>304</v>
      </c>
      <c r="BJ7">
        <v>17.62</v>
      </c>
      <c r="BK7" t="s">
        <v>305</v>
      </c>
      <c r="BL7">
        <v>32.32</v>
      </c>
      <c r="BM7" t="s">
        <v>322</v>
      </c>
      <c r="BN7">
        <v>24.36</v>
      </c>
    </row>
    <row r="8" spans="2:80" x14ac:dyDescent="0.25">
      <c r="B8" t="str">
        <f ca="1"/>
        <v>L01 FAB LAB 07</v>
      </c>
      <c r="C8">
        <f ca="1"/>
        <v>2</v>
      </c>
      <c r="D8">
        <f ca="1"/>
        <v>3</v>
      </c>
      <c r="E8">
        <f ca="1"/>
        <v>6</v>
      </c>
      <c r="F8">
        <f ca="1"/>
        <v>2</v>
      </c>
      <c r="G8">
        <f ca="1"/>
        <v>32.700000000000003</v>
      </c>
      <c r="AB8" t="s">
        <v>261</v>
      </c>
      <c r="AC8" t="s">
        <v>328</v>
      </c>
      <c r="BF8" t="s">
        <v>303</v>
      </c>
      <c r="BG8" t="s">
        <v>247</v>
      </c>
      <c r="BH8" t="s">
        <v>343</v>
      </c>
      <c r="BI8" t="s">
        <v>304</v>
      </c>
      <c r="BJ8">
        <v>17.809999999999999</v>
      </c>
      <c r="BK8" t="s">
        <v>305</v>
      </c>
      <c r="BL8">
        <v>31.47</v>
      </c>
      <c r="BM8" t="s">
        <v>322</v>
      </c>
      <c r="BN8">
        <v>24.45</v>
      </c>
    </row>
    <row r="9" spans="2:80" x14ac:dyDescent="0.25">
      <c r="B9" t="str">
        <f ca="1"/>
        <v>L01 FAB LAB 08</v>
      </c>
      <c r="C9">
        <f ca="1"/>
        <v>2</v>
      </c>
      <c r="D9">
        <f ca="1"/>
        <v>2.7</v>
      </c>
      <c r="E9">
        <f ca="1"/>
        <v>5</v>
      </c>
      <c r="F9">
        <f ca="1"/>
        <v>2</v>
      </c>
      <c r="G9">
        <f ca="1"/>
        <v>32.299999999999997</v>
      </c>
      <c r="N9" s="3"/>
      <c r="O9" s="3"/>
      <c r="AB9" t="s">
        <v>263</v>
      </c>
      <c r="AC9">
        <v>153</v>
      </c>
      <c r="AD9">
        <v>46143</v>
      </c>
      <c r="AE9">
        <v>46295</v>
      </c>
      <c r="BF9" t="s">
        <v>303</v>
      </c>
      <c r="BG9" t="s">
        <v>249</v>
      </c>
      <c r="BH9" t="s">
        <v>343</v>
      </c>
      <c r="BI9" t="s">
        <v>304</v>
      </c>
      <c r="BJ9">
        <v>17.649999999999999</v>
      </c>
      <c r="BK9" t="s">
        <v>305</v>
      </c>
      <c r="BL9">
        <v>32.409999999999997</v>
      </c>
      <c r="BM9" t="s">
        <v>320</v>
      </c>
      <c r="BN9">
        <v>24.61</v>
      </c>
    </row>
    <row r="10" spans="2:80" x14ac:dyDescent="0.25">
      <c r="B10" t="str">
        <f ca="1"/>
        <v>L01 FAB LAB 09</v>
      </c>
      <c r="C10">
        <f ca="1"/>
        <v>2</v>
      </c>
      <c r="D10">
        <f ca="1"/>
        <v>3</v>
      </c>
      <c r="E10">
        <f ca="1"/>
        <v>5</v>
      </c>
      <c r="F10">
        <f ca="1"/>
        <v>2</v>
      </c>
      <c r="G10">
        <f ca="1"/>
        <v>32.4</v>
      </c>
      <c r="N10" s="3"/>
      <c r="O10" s="3"/>
      <c r="AB10" t="s">
        <v>264</v>
      </c>
      <c r="AC10">
        <v>153</v>
      </c>
      <c r="AD10">
        <v>46143</v>
      </c>
      <c r="AE10">
        <v>46295</v>
      </c>
      <c r="BF10" t="s">
        <v>303</v>
      </c>
      <c r="BG10" t="s">
        <v>251</v>
      </c>
      <c r="BH10" t="s">
        <v>343</v>
      </c>
      <c r="BI10" t="s">
        <v>304</v>
      </c>
      <c r="BJ10">
        <v>17.829999999999998</v>
      </c>
      <c r="BK10" t="s">
        <v>305</v>
      </c>
      <c r="BL10">
        <v>30.92</v>
      </c>
      <c r="BM10" t="s">
        <v>320</v>
      </c>
      <c r="BN10">
        <v>24.56</v>
      </c>
    </row>
    <row r="11" spans="2:80" x14ac:dyDescent="0.25">
      <c r="AB11" t="s">
        <v>265</v>
      </c>
      <c r="AC11" t="s">
        <v>266</v>
      </c>
      <c r="AD11" t="s">
        <v>267</v>
      </c>
    </row>
    <row r="13" spans="2:80" x14ac:dyDescent="0.25">
      <c r="AB13" t="s">
        <v>268</v>
      </c>
    </row>
    <row r="14" spans="2:80" x14ac:dyDescent="0.25">
      <c r="AB14" t="s">
        <v>269</v>
      </c>
      <c r="AC14" t="s">
        <v>270</v>
      </c>
    </row>
    <row r="15" spans="2:80" x14ac:dyDescent="0.25">
      <c r="AB15" t="s">
        <v>271</v>
      </c>
      <c r="AC15" t="s">
        <v>272</v>
      </c>
    </row>
    <row r="16" spans="2:80" x14ac:dyDescent="0.25">
      <c r="AB16" t="s">
        <v>271</v>
      </c>
      <c r="AC16" t="s">
        <v>273</v>
      </c>
    </row>
    <row r="18" spans="28:34" x14ac:dyDescent="0.25">
      <c r="AB18" t="s">
        <v>253</v>
      </c>
      <c r="AC18" t="s">
        <v>254</v>
      </c>
    </row>
    <row r="19" spans="28:34" x14ac:dyDescent="0.25">
      <c r="AB19" t="s">
        <v>0</v>
      </c>
      <c r="AC19" t="s">
        <v>274</v>
      </c>
      <c r="AD19" t="s">
        <v>275</v>
      </c>
      <c r="AE19" t="s">
        <v>276</v>
      </c>
      <c r="AF19" t="s">
        <v>277</v>
      </c>
      <c r="AG19" t="s">
        <v>278</v>
      </c>
      <c r="AH19" t="s">
        <v>279</v>
      </c>
    </row>
    <row r="20" spans="28:34" x14ac:dyDescent="0.25">
      <c r="AB20" t="s">
        <v>215</v>
      </c>
      <c r="AC20" t="s">
        <v>280</v>
      </c>
      <c r="AD20">
        <v>100</v>
      </c>
      <c r="AE20">
        <v>0.5</v>
      </c>
      <c r="AF20">
        <v>2</v>
      </c>
      <c r="AG20">
        <v>1</v>
      </c>
      <c r="AH20" t="s">
        <v>281</v>
      </c>
    </row>
    <row r="21" spans="28:34" x14ac:dyDescent="0.25">
      <c r="AB21" t="s">
        <v>236</v>
      </c>
      <c r="AC21" t="s">
        <v>282</v>
      </c>
      <c r="AD21">
        <v>100</v>
      </c>
      <c r="AE21">
        <v>1.4</v>
      </c>
      <c r="AF21">
        <v>3</v>
      </c>
      <c r="AG21">
        <v>1</v>
      </c>
      <c r="AH21" t="s">
        <v>281</v>
      </c>
    </row>
    <row r="22" spans="28:34" x14ac:dyDescent="0.25">
      <c r="AB22" t="s">
        <v>238</v>
      </c>
      <c r="AC22" t="s">
        <v>283</v>
      </c>
      <c r="AD22">
        <v>100</v>
      </c>
      <c r="AE22">
        <v>0.9</v>
      </c>
      <c r="AF22">
        <v>3</v>
      </c>
      <c r="AG22">
        <v>1</v>
      </c>
      <c r="AH22" t="s">
        <v>281</v>
      </c>
    </row>
    <row r="23" spans="28:34" x14ac:dyDescent="0.25">
      <c r="AB23" t="s">
        <v>240</v>
      </c>
      <c r="AC23" t="s">
        <v>284</v>
      </c>
      <c r="AD23">
        <v>100</v>
      </c>
      <c r="AE23">
        <v>2.4</v>
      </c>
      <c r="AF23">
        <v>4</v>
      </c>
      <c r="AG23">
        <v>2</v>
      </c>
      <c r="AH23" t="s">
        <v>281</v>
      </c>
    </row>
    <row r="24" spans="28:34" x14ac:dyDescent="0.25">
      <c r="AB24" t="s">
        <v>243</v>
      </c>
      <c r="AC24" t="s">
        <v>285</v>
      </c>
      <c r="AD24">
        <v>100</v>
      </c>
      <c r="AE24">
        <v>3</v>
      </c>
      <c r="AF24">
        <v>6</v>
      </c>
      <c r="AG24">
        <v>2</v>
      </c>
      <c r="AH24">
        <v>1</v>
      </c>
    </row>
    <row r="25" spans="28:34" x14ac:dyDescent="0.25">
      <c r="AB25" t="s">
        <v>245</v>
      </c>
      <c r="AC25" t="s">
        <v>286</v>
      </c>
      <c r="AD25">
        <v>100</v>
      </c>
      <c r="AE25">
        <v>2.7</v>
      </c>
      <c r="AF25">
        <v>5</v>
      </c>
      <c r="AG25">
        <v>2</v>
      </c>
      <c r="AH25" t="s">
        <v>281</v>
      </c>
    </row>
    <row r="26" spans="28:34" x14ac:dyDescent="0.25">
      <c r="AB26" t="s">
        <v>247</v>
      </c>
      <c r="AC26" t="s">
        <v>287</v>
      </c>
      <c r="AD26">
        <v>100</v>
      </c>
      <c r="AE26">
        <v>0.8</v>
      </c>
      <c r="AF26">
        <v>2</v>
      </c>
      <c r="AG26">
        <v>1</v>
      </c>
      <c r="AH26" t="s">
        <v>281</v>
      </c>
    </row>
    <row r="27" spans="28:34" x14ac:dyDescent="0.25">
      <c r="AB27" t="s">
        <v>249</v>
      </c>
      <c r="AC27" t="s">
        <v>288</v>
      </c>
      <c r="AD27">
        <v>100</v>
      </c>
      <c r="AE27">
        <v>3</v>
      </c>
      <c r="AF27">
        <v>5</v>
      </c>
      <c r="AG27">
        <v>2</v>
      </c>
      <c r="AH27">
        <v>1</v>
      </c>
    </row>
    <row r="28" spans="28:34" x14ac:dyDescent="0.25">
      <c r="AB28" t="s">
        <v>251</v>
      </c>
      <c r="AC28" t="s">
        <v>289</v>
      </c>
      <c r="AD28">
        <v>100</v>
      </c>
      <c r="AE28">
        <v>0</v>
      </c>
      <c r="AF28">
        <v>0</v>
      </c>
      <c r="AG28">
        <v>0</v>
      </c>
      <c r="AH28" t="s">
        <v>281</v>
      </c>
    </row>
    <row r="30" spans="28:34" x14ac:dyDescent="0.25">
      <c r="AB30" t="s">
        <v>255</v>
      </c>
      <c r="AC30" t="s">
        <v>256</v>
      </c>
    </row>
    <row r="31" spans="28:34" x14ac:dyDescent="0.25">
      <c r="AB31" t="s">
        <v>0</v>
      </c>
      <c r="AC31" t="s">
        <v>274</v>
      </c>
      <c r="AD31" t="s">
        <v>275</v>
      </c>
      <c r="AE31" t="s">
        <v>276</v>
      </c>
      <c r="AF31" t="s">
        <v>277</v>
      </c>
      <c r="AG31" t="s">
        <v>278</v>
      </c>
      <c r="AH31" t="s">
        <v>279</v>
      </c>
    </row>
    <row r="33" spans="28:34" x14ac:dyDescent="0.25">
      <c r="AB33" t="s">
        <v>257</v>
      </c>
      <c r="AC33" t="s">
        <v>256</v>
      </c>
    </row>
    <row r="34" spans="28:34" x14ac:dyDescent="0.25">
      <c r="AB34" t="s">
        <v>0</v>
      </c>
      <c r="AC34" t="s">
        <v>274</v>
      </c>
      <c r="AD34" t="s">
        <v>275</v>
      </c>
      <c r="AE34" t="s">
        <v>276</v>
      </c>
      <c r="AF34" t="s">
        <v>277</v>
      </c>
      <c r="AG34" t="s">
        <v>278</v>
      </c>
      <c r="AH34" t="s">
        <v>279</v>
      </c>
    </row>
    <row r="36" spans="28:34" x14ac:dyDescent="0.25">
      <c r="AB36" t="s">
        <v>269</v>
      </c>
      <c r="AC36" t="s">
        <v>290</v>
      </c>
    </row>
    <row r="37" spans="28:34" x14ac:dyDescent="0.25">
      <c r="AC37" t="s">
        <v>291</v>
      </c>
    </row>
    <row r="38" spans="28:34" x14ac:dyDescent="0.25">
      <c r="AC38" t="s">
        <v>292</v>
      </c>
    </row>
    <row r="39" spans="28:34" x14ac:dyDescent="0.25">
      <c r="AC39" t="s">
        <v>293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6e2ef94-7fff-4a4e-a210-02340a9d0b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8005500A8240409C9266801C9F2CF1" ma:contentTypeVersion="8" ma:contentTypeDescription="Create a new document." ma:contentTypeScope="" ma:versionID="e49db1452c0cad2488bf45c6364ab153">
  <xsd:schema xmlns:xsd="http://www.w3.org/2001/XMLSchema" xmlns:xs="http://www.w3.org/2001/XMLSchema" xmlns:p="http://schemas.microsoft.com/office/2006/metadata/properties" xmlns:ns3="af0b8aca-c063-440f-b73d-85d55b81783c" xmlns:ns4="c6e2ef94-7fff-4a4e-a210-02340a9d0b96" targetNamespace="http://schemas.microsoft.com/office/2006/metadata/properties" ma:root="true" ma:fieldsID="999d1eb01031e061ec289ad924ed46d9" ns3:_="" ns4:_="">
    <xsd:import namespace="af0b8aca-c063-440f-b73d-85d55b81783c"/>
    <xsd:import namespace="c6e2ef94-7fff-4a4e-a210-02340a9d0b9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b8aca-c063-440f-b73d-85d55b81783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e2ef94-7fff-4a4e-a210-02340a9d0b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E8281A-9B98-4EE0-87ED-182454F4A5C0}">
  <ds:schemaRefs>
    <ds:schemaRef ds:uri="http://purl.org/dc/elements/1.1/"/>
    <ds:schemaRef ds:uri="http://purl.org/dc/dcmitype/"/>
    <ds:schemaRef ds:uri="http://schemas.microsoft.com/office/2006/documentManagement/types"/>
    <ds:schemaRef ds:uri="http://schemas.microsoft.com/office/infopath/2007/PartnerControls"/>
    <ds:schemaRef ds:uri="http://www.w3.org/XML/1998/namespace"/>
    <ds:schemaRef ds:uri="c6e2ef94-7fff-4a4e-a210-02340a9d0b96"/>
    <ds:schemaRef ds:uri="af0b8aca-c063-440f-b73d-85d55b81783c"/>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FD796A58-F78D-4B2A-A6B0-B33ED38BDFB5}">
  <ds:schemaRefs>
    <ds:schemaRef ds:uri="http://schemas.microsoft.com/sharepoint/v3/contenttype/forms"/>
  </ds:schemaRefs>
</ds:datastoreItem>
</file>

<file path=customXml/itemProps3.xml><?xml version="1.0" encoding="utf-8"?>
<ds:datastoreItem xmlns:ds="http://schemas.openxmlformats.org/officeDocument/2006/customXml" ds:itemID="{3D2E3104-FB0E-43DB-AE61-89F726EEE8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b8aca-c063-440f-b73d-85d55b81783c"/>
    <ds:schemaRef ds:uri="c6e2ef94-7fff-4a4e-a210-02340a9d0b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Cover</vt:lpstr>
      <vt:lpstr>Version</vt:lpstr>
      <vt:lpstr>Instructions</vt:lpstr>
      <vt:lpstr>ID sheet</vt:lpstr>
      <vt:lpstr>ModelIT Tabular Data</vt:lpstr>
      <vt:lpstr>Output Sheet 1</vt:lpstr>
      <vt:lpstr>Compliance summary</vt:lpstr>
      <vt:lpstr>Plots</vt:lpstr>
      <vt:lpstr>P1</vt:lpstr>
      <vt:lpstr>Overheating severity visual</vt:lpstr>
      <vt:lpstr>Template</vt:lpstr>
      <vt:lpstr>DSY1 2020</vt:lpstr>
      <vt:lpstr>DSY2 2020</vt:lpstr>
      <vt:lpstr>DSY3 2020</vt:lpstr>
      <vt:lpstr>DSY1 2050</vt:lpstr>
      <vt:lpstr>DSY2 2050</vt:lpstr>
      <vt:lpstr>DSY3 2050</vt:lpstr>
      <vt:lpstr>'P1'!Print_Titles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Sharpe</dc:creator>
  <cp:lastModifiedBy>Patrick Sharpe</cp:lastModifiedBy>
  <cp:lastPrinted>2024-12-02T15:45:56Z</cp:lastPrinted>
  <dcterms:created xsi:type="dcterms:W3CDTF">2023-03-20T10:55:36Z</dcterms:created>
  <dcterms:modified xsi:type="dcterms:W3CDTF">2026-06-03T08:38:37Z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0x010100878005500A8240409C9266801C9F2CF1</vt:lpwstr>
  </property>
</Properties>
</file>