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4" documentId="13_ncr:1_{BAEDB79D-FD00-4E35-968E-8F17EDB1D380}" xr6:coauthVersionLast="47" xr6:coauthVersionMax="47" xr10:uidLastSave="{6134A169-7D87-477E-BBD4-F4FA148C76EA}"/>
  <bookViews>
    <workbookView xWindow="-108" yWindow="-108" windowWidth="23256" windowHeight="12576" firstSheet="2" activeTab="2"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O8" i="2" s="1"/>
  <c r="P8" i="2" s="1"/>
  <c r="Q8" i="2"/>
  <c r="R8" i="2" s="1"/>
  <c r="T8" i="2"/>
  <c r="L9" i="2"/>
  <c r="M9" i="2"/>
  <c r="N9" i="2"/>
  <c r="O9" i="2" s="1"/>
  <c r="Q9" i="2"/>
  <c r="R9" i="2" s="1"/>
  <c r="T9" i="2"/>
  <c r="L10" i="2"/>
  <c r="M10" i="2"/>
  <c r="N10" i="2"/>
  <c r="Q10" i="2"/>
  <c r="T10" i="2"/>
  <c r="L11" i="2"/>
  <c r="M11" i="2"/>
  <c r="N11" i="2"/>
  <c r="O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1" i="2" l="1"/>
  <c r="U11" i="2" s="1"/>
  <c r="R10" i="2"/>
  <c r="U10" i="2" s="1"/>
  <c r="O10" i="2"/>
  <c r="U9" i="2"/>
  <c r="U8" i="2"/>
  <c r="S8" i="2"/>
  <c r="S15" i="2"/>
  <c r="P11" i="2"/>
  <c r="S9" i="2"/>
  <c r="P9" i="2"/>
  <c r="S13" i="2"/>
  <c r="P13" i="2"/>
  <c r="S11" i="2" l="1"/>
  <c r="S10" i="2"/>
  <c r="P10"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<sst xmlns="http://schemas.openxmlformats.org/spreadsheetml/2006/main" count="406" uniqueCount="265">
  <si>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</si>
  <si>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</si>
  <si>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</si>
  <si>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</si>
  <si>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</si>
  <si>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</si>
  <si>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</si>
  <si>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</si>
  <si>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</si>
  <si>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</si>
  <si>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</si>
  <si>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</si>
  <si>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</si>
  <si>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</si>
  <si>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</si>
  <si>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</si>
  <si>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</si>
  <si>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</si>
  <si>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</si>
  <si>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</si>
  <si>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</si>
  <si>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</si>
  <si>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</si>
  <si>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</si>
  <si>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</si>
  <si>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</si>
  <si>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</si>
  <si>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</si>
  <si>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</si>
  <si>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</si>
  <si>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</si>
  <si>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</si>
  <si>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</si>
  <si>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</si>
  <si>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</si>
  <si>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</si>
  <si>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</si>
  <si>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</si>
  <si>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</si>
  <si>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</si>
  <si>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</si>
  <si>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</si>
  <si>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</si>
  <si>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</si>
  <si>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</si>
  <si>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</si>
  <si>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</si>
  <si>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</si>
  <si>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</si>
  <si>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</si>
  <si>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</si>
  <si>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</si>
  <si>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</si>
  <si>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</si>
  <si>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</si>
  <si>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</si>
  <si>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</si>
  <si>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</si>
  <si>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</si>
  <si>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</si>
  <si>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</si>
  <si>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</si>
  <si>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</si>
  <si>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</si>
  <si>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</si>
  <si>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</si>
  <si>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</si>
  <si>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</si>
  <si>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</si>
  <si>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</si>
  <si>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</si>
  <si>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</si>
  <si>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</si>
  <si>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</si>
  <si>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</si>
  <si>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</si>
  <si>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</si>
  <si>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</si>
  <si>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</si>
  <si>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</si>
  <si>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</si>
  <si>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</si>
  <si>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</si>
  <si>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</si>
  <si>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</si>
  <si>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</si>
  <si>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</si>
  <si>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</si>
  <si>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</si>
  <si>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</si>
  <si>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</si>
  <si>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</si>
  <si>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</si>
  <si>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</si>
  <si>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</si>
  <si>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</si>
  <si>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</si>
  <si>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</si>
  <si>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</si>
  <si>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</si>
  <si>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</si>
  <si>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</si>
  <si>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</si>
  <si>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</si>
  <si>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</si>
  <si>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</si>
  <si>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</si>
  <si>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</si>
  <si>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</si>
  <si>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</si>
  <si>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</si>
  <si>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</si>
  <si>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</si>
  <si>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</si>
  <si>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</si>
  <si>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</si>
  <si>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</si>
  <si>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</si>
  <si>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</si>
  <si>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</si>
  <si>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</si>
  <si>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</si>
  <si>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</si>
  <si>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</si>
  <si>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</si>
  <si>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</si>
  <si>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</si>
  <si>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</si>
  <si>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</si>
  <si>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</si>
  <si>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</si>
  <si>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</si>
  <si>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</si>
  <si>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</si>
  <si>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</si>
  <si>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</si>
  <si>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</si>
  <si>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</si>
  <si>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</si>
  <si>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</si>
  <si>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</si>
  <si>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</si>
  <si>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</si>
  <si>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</si>
  <si>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</si>
  <si>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</si>
  <si>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</si>
  <si>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</si>
  <si>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</si>
  <si>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</si>
  <si>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</si>
  <si>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</si>
  <si>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</si>
  <si>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</si>
  <si>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</si>
  <si>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</si>
  <si>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</si>
  <si>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</si>
  <si>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</si>
  <si>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</si>
  <si>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</si>
  <si>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</si>
  <si>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</si>
  <si>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</si>
  <si>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</si>
  <si>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</si>
  <si>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</si>
  <si>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</si>
  <si>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</si>
  <si>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</si>
  <si>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</si>
  <si>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</si>
  <si>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</si>
  <si>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</si>
  <si>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</si>
  <si>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</si>
  <si>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</si>
  <si>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</si>
  <si>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</si>
  <si>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</si>
  <si>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</si>
  <si>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</si>
  <si>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</si>
  <si>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</si>
  <si>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</si>
  <si>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</si>
  <si>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</si>
  <si>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</si>
  <si>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</si>
  <si>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</si>
  <si>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</si>
  <si>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</si>
  <si>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</si>
  <si>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</si>
  <si>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</si>
  <si>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</si>
  <si>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</si>
  <si>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</si>
  <si>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</si>
  <si>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</si>
  <si>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</si>
  <si>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</si>
  <si>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</si>
  <si>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</si>
  <si>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</si>
  <si>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</si>
  <si>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</si>
  <si>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</si>
  <si>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</si>
  <si>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</si>
  <si>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</si>
  <si>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</si>
  <si>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</si>
  <si>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</si>
  <si>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</si>
  <si>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</si>
  <si>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</si>
  <si>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</si>
  <si>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</si>
  <si>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</si>
  <si>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</si>
  <si>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</si>
  <si>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</si>
  <si>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</si>
  <si>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</si>
  <si>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</si>
  <si>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</si>
  <si>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</si>
  <si>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</si>
  <si>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</si>
  <si>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</si>
  <si>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</si>
  <si>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</si>
  <si>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</si>
  <si>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</si>
  <si>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</si>
  <si>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</si>
  <si>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</si>
  <si>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</si>
  <si>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</si>
  <si>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</si>
  <si>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</si>
  <si>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</si>
  <si>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</si>
  <si>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</si>
  <si>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</si>
  <si>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</si>
  <si>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</si>
  <si>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</si>
  <si>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</si>
  <si>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</si>
  <si>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</si>
  <si>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</si>
  <si>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</si>
  <si>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</si>
  <si>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</si>
  <si>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</si>
  <si>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</si>
  <si>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</si>
  <si>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</si>
  <si>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1 and 4</t>
  </si>
  <si>
    <t>2 and 3</t>
  </si>
  <si>
    <t>5 and 8</t>
  </si>
  <si>
    <t>6 and 7</t>
  </si>
  <si>
    <t>Pavillion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</si>
</sst>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7.1227000000000009</c:v>
                </c:pt>
                <c:pt idx="2">
                  <c:v>7.1227000000000009</c:v>
                </c:pt>
                <c:pt idx="3">
                  <c:v>3.6271724000000005</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12.973453799999994</c:v>
                </c:pt>
                <c:pt idx="2">
                  <c:v>0</c:v>
                </c:pt>
                <c:pt idx="3">
                  <c:v>3.4955276000000004</c:v>
                </c:pt>
                <c:pt idx="4">
                  <c:v>3.6271723999999992</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20.096153799999996</c:v>
                </c:pt>
                <c:pt idx="1">
                  <c:v>20.096153799999996</c:v>
                </c:pt>
                <c:pt idx="2">
                  <c:v>20.096153799999996</c:v>
                </c:pt>
                <c:pt idx="3">
                  <c:v>20.096153799999996</c:v>
                </c:pt>
                <c:pt idx="4">
                  <c:v>20.096153799999996</c:v>
                </c:pt>
                <c:pt idx="5">
                  <c:v>20.096153799999996</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13.062499969999998</c:v>
                </c:pt>
                <c:pt idx="1">
                  <c:v>13.062499969999998</c:v>
                </c:pt>
                <c:pt idx="2">
                  <c:v>13.062499969999998</c:v>
                </c:pt>
                <c:pt idx="3">
                  <c:v>13.062499969999998</c:v>
                </c:pt>
                <c:pt idx="4">
                  <c:v>13.062499969999998</c:v>
                </c:pt>
                <c:pt idx="5">
                  <c:v>13.062499969999998</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700000000000003" customHeight="1">
      <c r="A4" s="228" t="s">
        <v>246</v>
      </c>
      <c r="B4" s="228"/>
      <c r="C4" s="228"/>
      <c r="D4" s="228"/>
      <c r="E4" s="228"/>
      <c r="F4" s="228"/>
      <c r="G4" s="228"/>
      <c r="H4" s="228"/>
      <c r="I4" s="228"/>
      <c r="J4" s="228"/>
      <c r="K4" s="228"/>
      <c r="L4" s="228"/>
    </row>
    <row r="5" spans="1:16384" ht="41.7" customHeight="1">
      <c r="A5" s="228" t="s">
        <v>247</v>
      </c>
      <c r="B5" s="228"/>
      <c r="C5" s="228"/>
      <c r="D5" s="228"/>
      <c r="E5" s="228"/>
      <c r="F5" s="228"/>
      <c r="G5" s="228"/>
      <c r="H5" s="228"/>
      <c r="I5" s="228"/>
      <c r="J5" s="228"/>
      <c r="K5" s="228"/>
      <c r="L5" s="228"/>
    </row>
    <row r="6" spans="1:16384" ht="32.700000000000003"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A7" sqref="A7"/>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5" t="s">
        <v>160</v>
      </c>
      <c r="B2" s="255"/>
      <c r="C2" s="201"/>
    </row>
    <row r="3" spans="1:6" ht="37.5" customHeight="1">
      <c r="A3" s="255" t="s">
        <v>161</v>
      </c>
      <c r="B3" s="255"/>
      <c r="C3" s="201"/>
    </row>
    <row r="4" spans="1:6" ht="37.5" customHeight="1">
      <c r="A4" s="255" t="s">
        <v>162</v>
      </c>
      <c r="B4" s="255"/>
      <c r="C4" s="201"/>
    </row>
    <row r="5" spans="1:6" ht="61.5" customHeight="1">
      <c r="A5" s="255" t="s">
        <v>163</v>
      </c>
      <c r="B5" s="255"/>
      <c r="C5" s="201"/>
      <c r="D5" s="203"/>
    </row>
    <row r="6" spans="1:6" ht="12" thickBot="1"/>
    <row r="7" spans="1:6" ht="24.6" thickTop="1">
      <c r="A7" s="204" t="s">
        <v>164</v>
      </c>
      <c r="B7" s="205"/>
      <c r="C7" s="205" t="s">
        <v>165</v>
      </c>
      <c r="D7" s="205" t="s">
        <v>166</v>
      </c>
      <c r="E7" s="206" t="s">
        <v>167</v>
      </c>
    </row>
    <row r="8" spans="1:6" ht="22.8">
      <c r="A8" s="249" t="s">
        <v>168</v>
      </c>
      <c r="B8" s="207" t="s">
        <v>0</v>
      </c>
      <c r="C8" s="207" t="s">
        <v>1</v>
      </c>
      <c r="D8" s="208"/>
      <c r="E8" s="208"/>
    </row>
    <row r="9" spans="1:6" ht="22.8">
      <c r="A9" s="249"/>
      <c r="B9" s="207" t="s">
        <v>2</v>
      </c>
      <c r="C9" s="207" t="s">
        <v>3</v>
      </c>
      <c r="D9" s="208"/>
      <c r="E9" s="208"/>
    </row>
    <row r="10" spans="1:6" ht="45.6">
      <c r="A10" s="249"/>
      <c r="B10" s="207" t="s">
        <v>4</v>
      </c>
      <c r="C10" s="207" t="s">
        <v>169</v>
      </c>
      <c r="D10" s="224"/>
      <c r="E10" s="208"/>
    </row>
    <row r="11" spans="1:6" ht="22.8">
      <c r="A11" s="249"/>
      <c r="B11" s="207" t="s">
        <v>170</v>
      </c>
      <c r="C11" s="207"/>
      <c r="D11" s="208"/>
      <c r="E11" s="208"/>
      <c r="F11" s="209"/>
    </row>
    <row r="12" spans="1:6" ht="25.5" customHeight="1">
      <c r="A12" s="249"/>
      <c r="B12" s="207" t="s">
        <v>171</v>
      </c>
      <c r="C12" s="207"/>
      <c r="D12" s="225"/>
      <c r="E12" s="208"/>
    </row>
    <row r="13" spans="1:6" ht="25.5" customHeight="1">
      <c r="A13" s="249"/>
      <c r="B13" s="207" t="s">
        <v>172</v>
      </c>
      <c r="C13" s="207"/>
      <c r="D13" s="224"/>
      <c r="E13" s="208"/>
    </row>
    <row r="14" spans="1:6" ht="22.8">
      <c r="A14" s="246" t="s">
        <v>173</v>
      </c>
      <c r="B14" s="207" t="s">
        <v>174</v>
      </c>
      <c r="C14" s="207"/>
      <c r="D14" s="208"/>
      <c r="E14" s="208"/>
    </row>
    <row r="15" spans="1:6" ht="22.8">
      <c r="A15" s="247"/>
      <c r="B15" s="207" t="s">
        <v>175</v>
      </c>
      <c r="C15" s="207"/>
      <c r="D15" s="208"/>
      <c r="E15" s="208"/>
    </row>
    <row r="16" spans="1:6" ht="22.8">
      <c r="A16" s="247"/>
      <c r="B16" s="207" t="s">
        <v>176</v>
      </c>
      <c r="C16" s="207"/>
      <c r="D16" s="208"/>
      <c r="E16" s="208"/>
    </row>
    <row r="17" spans="1:6" ht="22.8">
      <c r="A17" s="247"/>
      <c r="B17" s="207" t="s">
        <v>177</v>
      </c>
      <c r="C17" s="207"/>
      <c r="D17" s="208"/>
      <c r="E17" s="208"/>
    </row>
    <row r="18" spans="1:6" ht="14.7" customHeight="1">
      <c r="A18" s="247"/>
      <c r="B18" s="207" t="s">
        <v>178</v>
      </c>
      <c r="C18" s="207"/>
      <c r="D18" s="224"/>
      <c r="E18" s="208"/>
    </row>
    <row r="19" spans="1:6" ht="14.7" customHeight="1">
      <c r="A19" s="247"/>
      <c r="B19" s="207" t="s">
        <v>179</v>
      </c>
      <c r="C19" s="207"/>
      <c r="D19" s="224"/>
      <c r="E19" s="208"/>
    </row>
    <row r="20" spans="1:6" ht="14.7" customHeight="1">
      <c r="A20" s="248"/>
      <c r="B20" s="207" t="s">
        <v>180</v>
      </c>
      <c r="C20" s="207"/>
      <c r="D20" s="208"/>
      <c r="E20" s="208"/>
    </row>
    <row r="21" spans="1:6" ht="14.7" customHeight="1">
      <c r="A21" s="246" t="s">
        <v>181</v>
      </c>
      <c r="B21" s="210" t="s">
        <v>182</v>
      </c>
      <c r="C21" s="210"/>
      <c r="D21" s="208"/>
      <c r="E21" s="208"/>
    </row>
    <row r="22" spans="1:6" ht="22.8">
      <c r="A22" s="247"/>
      <c r="B22" s="210" t="s">
        <v>183</v>
      </c>
      <c r="C22" s="210"/>
      <c r="D22" s="208"/>
      <c r="E22" s="208"/>
    </row>
    <row r="23" spans="1:6" ht="14.7" customHeight="1">
      <c r="A23" s="247"/>
      <c r="B23" s="210" t="s">
        <v>184</v>
      </c>
      <c r="C23" s="210"/>
      <c r="D23" s="208"/>
      <c r="E23" s="208"/>
      <c r="F23" s="211"/>
    </row>
    <row r="24" spans="1:6" ht="14.7" customHeight="1">
      <c r="A24" s="248"/>
      <c r="B24" s="210" t="s">
        <v>185</v>
      </c>
      <c r="C24" s="210"/>
      <c r="D24" s="208"/>
      <c r="E24" s="208"/>
      <c r="F24" s="211"/>
    </row>
    <row r="25" spans="1:6" ht="22.8">
      <c r="A25" s="246" t="s">
        <v>186</v>
      </c>
      <c r="B25" s="207" t="s">
        <v>187</v>
      </c>
      <c r="C25" s="207"/>
      <c r="D25" s="208"/>
      <c r="E25" s="208"/>
    </row>
    <row r="26" spans="1:6">
      <c r="A26" s="247"/>
      <c r="B26" s="207" t="s">
        <v>188</v>
      </c>
      <c r="C26" s="207"/>
      <c r="D26" s="208"/>
      <c r="E26" s="208"/>
    </row>
    <row r="27" spans="1:6">
      <c r="A27" s="247"/>
      <c r="B27" s="207" t="s">
        <v>189</v>
      </c>
      <c r="C27" s="207"/>
      <c r="D27" s="208"/>
      <c r="E27" s="208"/>
    </row>
    <row r="28" spans="1:6" ht="15">
      <c r="A28" s="247"/>
      <c r="B28" s="207" t="s">
        <v>190</v>
      </c>
      <c r="C28" s="207"/>
      <c r="D28" s="224"/>
      <c r="E28" s="208"/>
    </row>
    <row r="29" spans="1:6" ht="34.200000000000003">
      <c r="A29" s="248"/>
      <c r="B29" s="207" t="s">
        <v>191</v>
      </c>
      <c r="C29" s="207" t="s">
        <v>192</v>
      </c>
      <c r="D29" s="208"/>
      <c r="E29" s="208"/>
    </row>
    <row r="30" spans="1:6" ht="22.8">
      <c r="A30" s="246" t="s">
        <v>193</v>
      </c>
      <c r="B30" s="207" t="s">
        <v>194</v>
      </c>
      <c r="C30" s="207" t="s">
        <v>195</v>
      </c>
      <c r="D30" s="208"/>
      <c r="E30" s="208"/>
      <c r="F30" s="212"/>
    </row>
    <row r="31" spans="1:6" ht="45.6">
      <c r="A31" s="247"/>
      <c r="B31" s="207" t="s">
        <v>196</v>
      </c>
      <c r="C31" s="207" t="s">
        <v>257</v>
      </c>
      <c r="D31" s="208"/>
      <c r="E31" s="208"/>
    </row>
    <row r="32" spans="1:6">
      <c r="A32" s="247"/>
      <c r="B32" s="207" t="s">
        <v>197</v>
      </c>
      <c r="C32" s="207"/>
      <c r="D32" s="208"/>
      <c r="E32" s="208"/>
    </row>
    <row r="33" spans="1:5" ht="12">
      <c r="A33" s="247"/>
      <c r="B33" s="213" t="s">
        <v>198</v>
      </c>
      <c r="C33" s="207"/>
      <c r="D33" s="224"/>
      <c r="E33" s="208"/>
    </row>
    <row r="34" spans="1:5" ht="12">
      <c r="A34" s="247"/>
      <c r="B34" s="213" t="s">
        <v>199</v>
      </c>
      <c r="C34" s="207"/>
      <c r="D34" s="224"/>
      <c r="E34" s="208"/>
    </row>
    <row r="35" spans="1:5">
      <c r="A35" s="248"/>
      <c r="B35" s="207" t="s">
        <v>200</v>
      </c>
      <c r="C35" s="207" t="s">
        <v>201</v>
      </c>
      <c r="D35" s="224"/>
      <c r="E35" s="208"/>
    </row>
    <row r="36" spans="1:5">
      <c r="A36" s="246" t="s">
        <v>202</v>
      </c>
      <c r="B36" s="207" t="s">
        <v>203</v>
      </c>
      <c r="C36" s="207"/>
      <c r="D36" s="208"/>
      <c r="E36" s="208"/>
    </row>
    <row r="37" spans="1:5">
      <c r="A37" s="247"/>
      <c r="B37" s="207" t="s">
        <v>204</v>
      </c>
      <c r="C37" s="207"/>
      <c r="D37" s="226"/>
      <c r="E37" s="208"/>
    </row>
    <row r="38" spans="1:5">
      <c r="A38" s="247"/>
      <c r="B38" s="207" t="s">
        <v>205</v>
      </c>
      <c r="C38" s="207"/>
      <c r="D38" s="224"/>
      <c r="E38" s="208"/>
    </row>
    <row r="39" spans="1:5">
      <c r="A39" s="247"/>
      <c r="B39" s="207" t="s">
        <v>206</v>
      </c>
      <c r="C39" s="207"/>
      <c r="D39" s="224"/>
      <c r="E39" s="208"/>
    </row>
    <row r="40" spans="1:5" ht="34.200000000000003">
      <c r="A40" s="247"/>
      <c r="B40" s="207" t="s">
        <v>207</v>
      </c>
      <c r="C40" s="207" t="s">
        <v>208</v>
      </c>
      <c r="D40" s="208"/>
      <c r="E40" s="208"/>
    </row>
    <row r="41" spans="1:5" ht="22.8">
      <c r="A41" s="247"/>
      <c r="B41" s="207" t="s">
        <v>209</v>
      </c>
      <c r="C41" s="207"/>
      <c r="D41" s="224"/>
      <c r="E41" s="208"/>
    </row>
    <row r="42" spans="1:5" ht="45.6">
      <c r="A42" s="247"/>
      <c r="B42" s="207" t="s">
        <v>210</v>
      </c>
      <c r="C42" s="213" t="s">
        <v>211</v>
      </c>
      <c r="D42" s="208"/>
      <c r="E42" s="208"/>
    </row>
    <row r="43" spans="1:5">
      <c r="A43" s="247"/>
      <c r="B43" s="207" t="s">
        <v>212</v>
      </c>
      <c r="C43" s="207"/>
      <c r="D43" s="224"/>
      <c r="E43" s="208"/>
    </row>
    <row r="44" spans="1:5">
      <c r="A44" s="247"/>
      <c r="B44" s="207" t="s">
        <v>213</v>
      </c>
      <c r="C44" s="207"/>
      <c r="D44" s="224"/>
      <c r="E44" s="208"/>
    </row>
    <row r="45" spans="1:5" ht="45.6">
      <c r="A45" s="248"/>
      <c r="B45" s="207" t="s">
        <v>214</v>
      </c>
      <c r="C45" s="207" t="s">
        <v>215</v>
      </c>
      <c r="D45" s="208"/>
      <c r="E45" s="208"/>
    </row>
    <row r="46" spans="1:5">
      <c r="A46" s="249" t="s">
        <v>216</v>
      </c>
      <c r="B46" s="207" t="s">
        <v>217</v>
      </c>
      <c r="C46" s="207"/>
      <c r="D46" s="208"/>
      <c r="E46" s="208"/>
    </row>
    <row r="47" spans="1:5" ht="34.200000000000003">
      <c r="A47" s="249"/>
      <c r="B47" s="207" t="s">
        <v>218</v>
      </c>
      <c r="C47" s="207"/>
      <c r="D47" s="208"/>
      <c r="E47" s="208"/>
    </row>
    <row r="48" spans="1:5">
      <c r="A48" s="249"/>
      <c r="B48" s="207" t="s">
        <v>219</v>
      </c>
      <c r="C48" s="207"/>
      <c r="D48" s="224"/>
      <c r="E48" s="208"/>
    </row>
    <row r="49" spans="1:5">
      <c r="A49" s="249"/>
      <c r="B49" s="207" t="s">
        <v>220</v>
      </c>
      <c r="C49" s="207"/>
      <c r="D49" s="224"/>
      <c r="E49" s="208"/>
    </row>
    <row r="50" spans="1:5" ht="13.2">
      <c r="A50" s="249"/>
      <c r="B50" s="207" t="s">
        <v>221</v>
      </c>
      <c r="C50" s="207"/>
      <c r="D50" s="224"/>
      <c r="E50" s="208"/>
    </row>
    <row r="51" spans="1:5">
      <c r="A51" s="249"/>
      <c r="B51" s="207" t="s">
        <v>222</v>
      </c>
      <c r="C51" s="207"/>
      <c r="D51" s="208"/>
      <c r="E51" s="208"/>
    </row>
    <row r="52" spans="1:5" ht="13.2">
      <c r="A52" s="249"/>
      <c r="B52" s="207" t="s">
        <v>223</v>
      </c>
      <c r="C52" s="207"/>
      <c r="D52" s="224"/>
      <c r="E52" s="208"/>
    </row>
    <row r="53" spans="1:5" ht="22.8">
      <c r="A53" s="246" t="s">
        <v>224</v>
      </c>
      <c r="B53" s="207" t="s">
        <v>225</v>
      </c>
      <c r="C53" s="207" t="s">
        <v>226</v>
      </c>
      <c r="D53" s="208"/>
      <c r="E53" s="208"/>
    </row>
    <row r="54" spans="1:5" ht="22.8">
      <c r="A54" s="247"/>
      <c r="B54" s="207" t="s">
        <v>227</v>
      </c>
      <c r="C54" s="207" t="s">
        <v>228</v>
      </c>
      <c r="D54" s="208"/>
      <c r="E54" s="208"/>
    </row>
    <row r="55" spans="1:5">
      <c r="A55" s="247"/>
      <c r="B55" s="207" t="s">
        <v>229</v>
      </c>
      <c r="C55" s="207"/>
      <c r="D55" s="224"/>
      <c r="E55" s="208"/>
    </row>
    <row r="56" spans="1:5">
      <c r="A56" s="247"/>
      <c r="B56" s="207" t="s">
        <v>230</v>
      </c>
      <c r="C56" s="207"/>
      <c r="D56" s="224"/>
      <c r="E56" s="208"/>
    </row>
    <row r="57" spans="1:5">
      <c r="A57" s="248"/>
      <c r="B57" s="207" t="s">
        <v>231</v>
      </c>
      <c r="C57" s="207"/>
      <c r="D57" s="224"/>
      <c r="E57" s="208"/>
    </row>
    <row r="58" spans="1:5">
      <c r="A58" s="250" t="s">
        <v>232</v>
      </c>
      <c r="B58" s="207" t="s">
        <v>233</v>
      </c>
      <c r="C58" s="207"/>
      <c r="D58" s="208"/>
      <c r="E58" s="208"/>
    </row>
    <row r="59" spans="1:5">
      <c r="A59" s="251"/>
      <c r="B59" s="207" t="s">
        <v>234</v>
      </c>
      <c r="C59" s="207"/>
      <c r="D59" s="224"/>
      <c r="E59" s="208"/>
    </row>
    <row r="60" spans="1:5" ht="57">
      <c r="A60" s="246" t="s">
        <v>235</v>
      </c>
      <c r="B60" s="207" t="s">
        <v>236</v>
      </c>
      <c r="C60" s="207" t="s">
        <v>237</v>
      </c>
      <c r="D60" s="208"/>
      <c r="E60" s="208"/>
    </row>
    <row r="61" spans="1:5" ht="20.25" customHeight="1">
      <c r="A61" s="247"/>
      <c r="B61" s="207" t="s">
        <v>238</v>
      </c>
      <c r="C61" s="207"/>
      <c r="D61" s="208"/>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ht="12">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ht="12">
      <c r="A86" s="243" t="s">
        <v>7</v>
      </c>
      <c r="B86" s="244"/>
      <c r="C86" s="244"/>
      <c r="D86" s="24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c r="A94" s="241" t="s">
        <v>16</v>
      </c>
      <c r="B94" s="242"/>
      <c r="C94" s="210"/>
      <c r="D94" s="215"/>
      <c r="E94" s="216"/>
    </row>
    <row r="95" spans="1:5"/>
    <row r="96" spans="1:5"/>
    <row r="97" spans="1:5" ht="12">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abSelected="1" topLeftCell="A5" zoomScale="90" zoomScaleNormal="90" workbookViewId="0">
      <selection activeCell="O58" sqref="O58"/>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260</v>
      </c>
      <c r="B7" s="110">
        <v>211</v>
      </c>
      <c r="C7" s="110">
        <v>2</v>
      </c>
      <c r="D7" s="110">
        <v>422</v>
      </c>
      <c r="E7" s="164">
        <v>11.55</v>
      </c>
      <c r="F7" s="165">
        <v>-265.45999999999998</v>
      </c>
      <c r="G7" s="166">
        <v>4.9800000000000004</v>
      </c>
      <c r="H7" s="166">
        <v>4.9800000000000004</v>
      </c>
      <c r="I7" s="166">
        <v>1.95</v>
      </c>
      <c r="J7" s="167">
        <v>43.94</v>
      </c>
      <c r="K7" s="167">
        <v>42.01</v>
      </c>
      <c r="L7" s="107">
        <f t="shared" ref="L7" si="0">IF($E7=0,"",D7*E7)</f>
        <v>4874.1000000000004</v>
      </c>
      <c r="M7" s="107">
        <f t="shared" ref="M7:M57" si="1">IF($F7=0,"",($F7/$B7)*$D7)</f>
        <v>-530.91999999999996</v>
      </c>
      <c r="N7" s="107">
        <f t="shared" ref="N7:N57" si="2">IF($G7=0,"",$D7*$G7)</f>
        <v>2101.5600000000004</v>
      </c>
      <c r="O7" s="108">
        <f>IF($G7=0,"",$N7+M7)</f>
        <v>1570.6400000000003</v>
      </c>
      <c r="P7" s="108">
        <f>IF($G7=0,"",$L7-O7)</f>
        <v>3303.46</v>
      </c>
      <c r="Q7" s="108">
        <f t="shared" ref="Q7:Q57" si="3">IF($H7=0,"",$D7*$H7)</f>
        <v>2101.5600000000004</v>
      </c>
      <c r="R7" s="108">
        <f>IF($H7=0,"",$Q7+$M7)</f>
        <v>1570.6400000000003</v>
      </c>
      <c r="S7" s="108">
        <f>IF($H7=0,"",$O7-$R7)</f>
        <v>0</v>
      </c>
      <c r="T7" s="108">
        <f>IF($I7=0,"",$D7*$I7)</f>
        <v>822.9</v>
      </c>
      <c r="U7" s="175">
        <f>IF($H7=0,"",$R7-$T7)</f>
        <v>747.74000000000035</v>
      </c>
    </row>
    <row r="8" spans="1:21" ht="13.5" customHeight="1">
      <c r="A8" s="109" t="s">
        <v>261</v>
      </c>
      <c r="B8" s="110">
        <v>238.27</v>
      </c>
      <c r="C8" s="110">
        <v>2</v>
      </c>
      <c r="D8" s="110">
        <v>476.54</v>
      </c>
      <c r="E8" s="164">
        <v>10.63</v>
      </c>
      <c r="F8" s="168">
        <v>-265.51</v>
      </c>
      <c r="G8" s="166">
        <v>4.5999999999999996</v>
      </c>
      <c r="H8" s="166">
        <v>4.5999999999999996</v>
      </c>
      <c r="I8" s="166">
        <v>1.9</v>
      </c>
      <c r="J8" s="167">
        <v>42.08</v>
      </c>
      <c r="K8" s="167">
        <v>40.72</v>
      </c>
      <c r="L8" s="107">
        <f t="shared" ref="L8:L57" si="4">IF($E8=0,"",D8*E8)</f>
        <v>5065.6202000000003</v>
      </c>
      <c r="M8" s="107">
        <f t="shared" si="1"/>
        <v>-531.02</v>
      </c>
      <c r="N8" s="107">
        <f t="shared" si="2"/>
        <v>2192.0839999999998</v>
      </c>
      <c r="O8" s="108">
        <f t="shared" ref="O8:O57" si="5">IF($G8=0,"",$N8+M8)</f>
        <v>1661.0639999999999</v>
      </c>
      <c r="P8" s="108">
        <f t="shared" ref="P8:P57" si="6">IF($G8=0,"",$L8-O8)</f>
        <v>3404.5562000000004</v>
      </c>
      <c r="Q8" s="108">
        <f t="shared" si="3"/>
        <v>2192.0839999999998</v>
      </c>
      <c r="R8" s="108">
        <f t="shared" ref="R8:R57" si="7">IF($H8=0,"",$Q8+$M8)</f>
        <v>1661.0639999999999</v>
      </c>
      <c r="S8" s="108">
        <f t="shared" ref="S8:S57" si="8">IF($H8=0,"",$O8-$R8)</f>
        <v>0</v>
      </c>
      <c r="T8" s="108">
        <f t="shared" ref="T8:T57" si="9">IF($I8=0,"",$D8*$I8)</f>
        <v>905.42600000000004</v>
      </c>
      <c r="U8" s="175">
        <f t="shared" ref="U8:U57" si="10">IF($H8=0,"",$R8-$T8)</f>
        <v>755.63799999999981</v>
      </c>
    </row>
    <row r="9" spans="1:21" ht="13.5" customHeight="1">
      <c r="A9" s="109" t="s">
        <v>262</v>
      </c>
      <c r="B9" s="110">
        <v>212.02</v>
      </c>
      <c r="C9" s="110">
        <v>2</v>
      </c>
      <c r="D9" s="110">
        <v>424.04</v>
      </c>
      <c r="E9" s="164">
        <v>10.94</v>
      </c>
      <c r="F9" s="168">
        <v>-264.69</v>
      </c>
      <c r="G9" s="166">
        <v>4.9000000000000004</v>
      </c>
      <c r="H9" s="166">
        <v>4.9000000000000004</v>
      </c>
      <c r="I9" s="166">
        <v>1.91</v>
      </c>
      <c r="J9" s="167">
        <v>43.12</v>
      </c>
      <c r="K9" s="167">
        <v>41.26</v>
      </c>
      <c r="L9" s="107">
        <f t="shared" si="4"/>
        <v>4638.9975999999997</v>
      </c>
      <c r="M9" s="107">
        <f t="shared" si="1"/>
        <v>-529.38</v>
      </c>
      <c r="N9" s="107">
        <f t="shared" si="2"/>
        <v>2077.7960000000003</v>
      </c>
      <c r="O9" s="108">
        <f t="shared" si="5"/>
        <v>1548.4160000000002</v>
      </c>
      <c r="P9" s="108">
        <f t="shared" si="6"/>
        <v>3090.5815999999995</v>
      </c>
      <c r="Q9" s="108">
        <f t="shared" si="3"/>
        <v>2077.7960000000003</v>
      </c>
      <c r="R9" s="108">
        <f t="shared" si="7"/>
        <v>1548.4160000000002</v>
      </c>
      <c r="S9" s="108">
        <f t="shared" si="8"/>
        <v>0</v>
      </c>
      <c r="T9" s="108">
        <f t="shared" si="9"/>
        <v>809.91639999999995</v>
      </c>
      <c r="U9" s="175">
        <f t="shared" si="10"/>
        <v>738.49960000000021</v>
      </c>
    </row>
    <row r="10" spans="1:21" ht="13.5" customHeight="1">
      <c r="A10" s="109" t="s">
        <v>263</v>
      </c>
      <c r="B10" s="110">
        <v>232.65</v>
      </c>
      <c r="C10" s="110">
        <v>2</v>
      </c>
      <c r="D10" s="110">
        <v>465.3</v>
      </c>
      <c r="E10" s="164">
        <v>10.119999999999999</v>
      </c>
      <c r="F10" s="168">
        <v>-264.73</v>
      </c>
      <c r="G10" s="166">
        <v>5.17</v>
      </c>
      <c r="H10" s="166">
        <v>5.17</v>
      </c>
      <c r="I10" s="166">
        <v>2.1</v>
      </c>
      <c r="J10" s="167">
        <v>39.6</v>
      </c>
      <c r="K10" s="167">
        <v>38.42</v>
      </c>
      <c r="L10" s="107">
        <f t="shared" si="4"/>
        <v>4708.8359999999993</v>
      </c>
      <c r="M10" s="107">
        <f t="shared" si="1"/>
        <v>-529.46</v>
      </c>
      <c r="N10" s="107">
        <f t="shared" si="2"/>
        <v>2405.6010000000001</v>
      </c>
      <c r="O10" s="108">
        <f t="shared" si="5"/>
        <v>1876.1410000000001</v>
      </c>
      <c r="P10" s="108">
        <f t="shared" si="6"/>
        <v>2832.6949999999993</v>
      </c>
      <c r="Q10" s="108">
        <f t="shared" si="3"/>
        <v>2405.6010000000001</v>
      </c>
      <c r="R10" s="108">
        <f t="shared" si="7"/>
        <v>1876.1410000000001</v>
      </c>
      <c r="S10" s="108">
        <f t="shared" si="8"/>
        <v>0</v>
      </c>
      <c r="T10" s="108">
        <f t="shared" si="9"/>
        <v>977.13000000000011</v>
      </c>
      <c r="U10" s="175">
        <f t="shared" si="10"/>
        <v>899.01099999999997</v>
      </c>
    </row>
    <row r="11" spans="1:21" ht="13.5" customHeight="1">
      <c r="A11" s="109" t="s">
        <v>264</v>
      </c>
      <c r="B11" s="110">
        <v>52</v>
      </c>
      <c r="C11" s="110">
        <v>1</v>
      </c>
      <c r="D11" s="110">
        <v>52</v>
      </c>
      <c r="E11" s="164">
        <v>15.55</v>
      </c>
      <c r="F11" s="168">
        <v>-1E-3</v>
      </c>
      <c r="G11" s="166">
        <v>8.9700000000000006</v>
      </c>
      <c r="H11" s="166">
        <v>8.9700000000000006</v>
      </c>
      <c r="I11" s="166">
        <v>2.15</v>
      </c>
      <c r="J11" s="167">
        <v>119.79</v>
      </c>
      <c r="K11" s="167">
        <v>104.85</v>
      </c>
      <c r="L11" s="107">
        <f t="shared" si="4"/>
        <v>808.6</v>
      </c>
      <c r="M11" s="107">
        <f t="shared" si="1"/>
        <v>-1E-3</v>
      </c>
      <c r="N11" s="107">
        <f t="shared" si="2"/>
        <v>466.44000000000005</v>
      </c>
      <c r="O11" s="108">
        <f t="shared" si="5"/>
        <v>466.43900000000008</v>
      </c>
      <c r="P11" s="108">
        <f t="shared" si="6"/>
        <v>342.16099999999994</v>
      </c>
      <c r="Q11" s="108">
        <f t="shared" si="3"/>
        <v>466.44000000000005</v>
      </c>
      <c r="R11" s="108">
        <f t="shared" si="7"/>
        <v>466.43900000000008</v>
      </c>
      <c r="S11" s="108">
        <f t="shared" si="8"/>
        <v>0</v>
      </c>
      <c r="T11" s="108">
        <f t="shared" si="9"/>
        <v>111.8</v>
      </c>
      <c r="U11" s="175">
        <f t="shared" si="10"/>
        <v>354.63900000000007</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9</v>
      </c>
      <c r="D58" s="7">
        <f>SUM(D7:D57)</f>
        <v>1839.8799999999999</v>
      </c>
      <c r="E58" s="128">
        <f t="shared" ref="E58" si="11">IFERROR(SUMPRODUCT($D$7:$D$57,E7:E57)/$D$58,0)</f>
        <v>10.922535056634127</v>
      </c>
      <c r="F58" s="127">
        <f t="shared" ref="F58" si="12">IFERROR(SUMPRODUCT($D$7:$D$57,F7:F57)/$D$58,0)</f>
        <v>-257.6082809748462</v>
      </c>
      <c r="G58" s="127">
        <f t="shared" ref="G58:I58" si="13">IFERROR(SUMPRODUCT($D$7:$D$57,G7:G57)/$D$58,0)</f>
        <v>5.0239586277365929</v>
      </c>
      <c r="H58" s="127">
        <f t="shared" si="13"/>
        <v>5.0239586277365929</v>
      </c>
      <c r="I58" s="127">
        <f t="shared" si="13"/>
        <v>1.9714179185599063</v>
      </c>
      <c r="J58" s="127">
        <f>IFERROR(SUMPRODUCT($D$7:$D$57,J7:J57)/$D$58,0)</f>
        <v>44.315416222797147</v>
      </c>
      <c r="K58" s="127">
        <f>IFERROR(SUMPRODUCT($D$7:$D$57,K7:K57)/$D$58,0)</f>
        <v>42.37115746679131</v>
      </c>
      <c r="L58" s="102">
        <f>SUM(L7:L57)</f>
        <v>20096.153799999996</v>
      </c>
      <c r="M58" s="102">
        <f>SUM(M7:M57)</f>
        <v>-2120.7810000000004</v>
      </c>
      <c r="N58" s="102">
        <f t="shared" ref="N58:T58" si="14">SUM(N7:N57)</f>
        <v>9243.4810000000016</v>
      </c>
      <c r="O58" s="102">
        <f t="shared" si="14"/>
        <v>7122.7000000000007</v>
      </c>
      <c r="P58" s="102">
        <f t="shared" si="14"/>
        <v>12973.453799999999</v>
      </c>
      <c r="Q58" s="102">
        <f t="shared" si="14"/>
        <v>9243.4810000000016</v>
      </c>
      <c r="R58" s="102">
        <f t="shared" si="14"/>
        <v>7122.7000000000007</v>
      </c>
      <c r="S58" s="102">
        <f t="shared" si="14"/>
        <v>0</v>
      </c>
      <c r="T58" s="102">
        <f t="shared" si="14"/>
        <v>3627.1724000000004</v>
      </c>
      <c r="U58" s="176">
        <f t="shared" ref="U58" si="15">SUM(U7:U57)</f>
        <v>3495.5276000000003</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1839.8799999999999</v>
      </c>
      <c r="E96" s="155" t="s">
        <v>22</v>
      </c>
      <c r="F96" s="155" t="s">
        <v>22</v>
      </c>
      <c r="G96" s="155" t="s">
        <v>22</v>
      </c>
      <c r="H96" s="155" t="s">
        <v>22</v>
      </c>
      <c r="I96" s="155" t="s">
        <v>22</v>
      </c>
      <c r="J96" s="122"/>
      <c r="K96" s="123"/>
      <c r="L96" s="156">
        <f>L58+L94</f>
        <v>20096.153799999996</v>
      </c>
      <c r="M96" s="156">
        <f t="shared" ref="M96:T96" si="29">M58+M94</f>
        <v>-2120.7810000000004</v>
      </c>
      <c r="N96" s="156">
        <f t="shared" si="29"/>
        <v>9243.4810000000016</v>
      </c>
      <c r="O96" s="156">
        <f t="shared" si="29"/>
        <v>7122.7000000000007</v>
      </c>
      <c r="P96" s="156">
        <f t="shared" si="29"/>
        <v>12973.453799999999</v>
      </c>
      <c r="Q96" s="156">
        <f t="shared" si="29"/>
        <v>9243.4810000000016</v>
      </c>
      <c r="R96" s="156">
        <f t="shared" si="29"/>
        <v>7122.7000000000007</v>
      </c>
      <c r="S96" s="156">
        <f t="shared" ref="S96" si="30">S58+S94</f>
        <v>0</v>
      </c>
      <c r="T96" s="156">
        <f t="shared" si="29"/>
        <v>3627.1724000000004</v>
      </c>
      <c r="U96" s="181">
        <f>U58+U94</f>
        <v>3495.5276000000003</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5" zoomScale="70" zoomScaleNormal="70" workbookViewId="0">
      <selection sqref="A1:T1"/>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7.399999999999999">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2"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7"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c r="C6" s="75"/>
      <c r="D6" s="75"/>
      <c r="E6" s="75"/>
      <c r="F6" s="75"/>
      <c r="G6" s="75"/>
      <c r="H6" s="75"/>
      <c r="I6" s="75"/>
      <c r="J6" s="75"/>
      <c r="K6" s="75"/>
      <c r="L6" s="76"/>
      <c r="M6" s="76"/>
      <c r="N6" s="293" t="str">
        <f>IF('EUI &amp; space heating demand'!B6="","",SUM('EUI &amp; space heating demand'!$D$6:$I$7)/SUM('EUI &amp; space heating demand'!$B$6:$B$7))</f>
        <v/>
      </c>
      <c r="O6" s="293" t="str">
        <f>IF('EUI &amp; space heating demand'!B6="","",'EUI &amp; space heating demand'!C6/'EUI &amp; space heating demand'!B6)</f>
        <v/>
      </c>
      <c r="P6" s="293" t="str">
        <f>IF('EUI &amp; space heating demand'!B6="","",Tables!B29)</f>
        <v/>
      </c>
      <c r="Q6" s="293" t="str">
        <f>IF('EUI &amp; space heating demand'!B6="","",Tables!C29)</f>
        <v/>
      </c>
      <c r="R6" s="77"/>
      <c r="S6" s="77"/>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10" zoomScale="50" zoomScaleNormal="50" workbookViewId="0">
      <selection activeCell="F21" sqref="F21"/>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20.096153799999996</v>
      </c>
      <c r="D8" s="66"/>
      <c r="E8" s="54"/>
      <c r="F8" s="26"/>
      <c r="G8" s="54"/>
      <c r="H8" s="24" t="s">
        <v>69</v>
      </c>
      <c r="I8" s="25">
        <f>'Part L Outputs'!L94/1000</f>
        <v>0</v>
      </c>
      <c r="J8" s="66"/>
      <c r="K8" s="81"/>
      <c r="L8" s="81"/>
      <c r="M8" s="90"/>
    </row>
    <row r="9" spans="1:13" s="27" customFormat="1" ht="45" customHeight="1">
      <c r="B9" s="24" t="s">
        <v>70</v>
      </c>
      <c r="C9" s="25">
        <f>'Part L Outputs'!O58/1000</f>
        <v>7.1227000000000009</v>
      </c>
      <c r="D9" s="66"/>
      <c r="E9" s="54"/>
      <c r="F9" s="26"/>
      <c r="G9" s="54"/>
      <c r="H9" s="24" t="s">
        <v>70</v>
      </c>
      <c r="I9" s="25">
        <f>'Part L Outputs'!O94/1000</f>
        <v>0</v>
      </c>
      <c r="J9" s="66"/>
      <c r="K9" s="81"/>
      <c r="L9" s="81"/>
      <c r="M9" s="90"/>
    </row>
    <row r="10" spans="1:13" s="27" customFormat="1" ht="45" customHeight="1">
      <c r="B10" s="24" t="s">
        <v>71</v>
      </c>
      <c r="C10" s="25">
        <f>'Part L Outputs'!R58/1000</f>
        <v>7.1227000000000009</v>
      </c>
      <c r="D10" s="66"/>
      <c r="E10" s="54"/>
      <c r="F10" s="26"/>
      <c r="G10" s="54"/>
      <c r="H10" s="24" t="s">
        <v>71</v>
      </c>
      <c r="I10" s="25">
        <f>'Part L Outputs'!R94/1000</f>
        <v>0</v>
      </c>
      <c r="J10" s="66"/>
      <c r="K10" s="81"/>
      <c r="L10" s="81"/>
      <c r="M10" s="90"/>
    </row>
    <row r="11" spans="1:13" s="27" customFormat="1" ht="45" customHeight="1">
      <c r="B11" s="24" t="s">
        <v>72</v>
      </c>
      <c r="C11" s="25">
        <f>'Part L Outputs'!T58/1000</f>
        <v>3.6271724000000005</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12.973453799999994</v>
      </c>
      <c r="D18" s="31">
        <f>IFERROR(C18/C8,0)</f>
        <v>0.64556899440130666</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3.4955276000000004</v>
      </c>
      <c r="D20" s="31">
        <f>IFERROR(C20/C8,0)</f>
        <v>0.1739401297774702</v>
      </c>
      <c r="E20" s="28"/>
      <c r="F20" s="29"/>
      <c r="G20" s="28"/>
      <c r="H20" s="24" t="s">
        <v>81</v>
      </c>
      <c r="I20" s="25">
        <f>I10-I11</f>
        <v>0</v>
      </c>
      <c r="J20" s="31">
        <f>IFERROR(I20/I8,0)</f>
        <v>0</v>
      </c>
      <c r="K20" s="28"/>
      <c r="L20" s="28"/>
      <c r="M20" s="91"/>
    </row>
    <row r="21" spans="2:13" s="30" customFormat="1" ht="45" customHeight="1">
      <c r="B21" s="32" t="s">
        <v>82</v>
      </c>
      <c r="C21" s="33">
        <f>C8-C11</f>
        <v>16.468981399999997</v>
      </c>
      <c r="D21" s="34">
        <f>IFERROR(C21/C8,0)</f>
        <v>0.81950912417877697</v>
      </c>
      <c r="E21" s="28"/>
      <c r="F21" s="29"/>
      <c r="G21" s="28"/>
      <c r="H21" s="32" t="s">
        <v>83</v>
      </c>
      <c r="I21" s="33">
        <f>I8-I11</f>
        <v>0</v>
      </c>
      <c r="J21" s="34">
        <f>IFERROR(I21/I8,0)</f>
        <v>0</v>
      </c>
      <c r="K21" s="92"/>
      <c r="L21" s="28"/>
      <c r="M21" s="91"/>
    </row>
    <row r="22" spans="2:13" s="30" customFormat="1" ht="45" customHeight="1">
      <c r="B22" s="24" t="s">
        <v>84</v>
      </c>
      <c r="C22" s="25">
        <f>(C8-C21)</f>
        <v>3.6271723999999992</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108.81517199999998</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10337.441339999998</v>
      </c>
      <c r="D25" s="35"/>
      <c r="E25" s="28"/>
      <c r="F25" s="29"/>
      <c r="G25" s="28"/>
      <c r="H25" s="32" t="s">
        <v>87</v>
      </c>
      <c r="I25" s="36">
        <f>IFERROR(IF('Development Information'!$D$10=0,I22*95*30,I22*'Development Information'!$D$10*30),"")</f>
        <v>0</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20.096153799999996</v>
      </c>
      <c r="D61" s="41"/>
      <c r="E61" s="42"/>
      <c r="F61" s="56">
        <f>$C$61</f>
        <v>20.096153799999996</v>
      </c>
      <c r="G61" s="56"/>
      <c r="H61" s="48" t="s">
        <v>97</v>
      </c>
      <c r="I61" s="49">
        <f>IFERROR('Part L Outputs'!J58,"")</f>
        <v>44.315416222797147</v>
      </c>
      <c r="J61" s="49">
        <f>IFERROR('Part L Outputs'!K58,"")</f>
        <v>42.37115746679131</v>
      </c>
      <c r="K61" s="44">
        <f>IFERROR(1-J61/I61,"")</f>
        <v>4.38731918082641E-2</v>
      </c>
      <c r="L61" s="55"/>
      <c r="M61" s="91"/>
    </row>
    <row r="62" spans="1:13" s="30" customFormat="1" ht="40.200000000000003" customHeight="1">
      <c r="B62" s="43" t="s">
        <v>98</v>
      </c>
      <c r="C62" s="40">
        <f>'Part L Outputs'!O96/1000</f>
        <v>7.1227000000000009</v>
      </c>
      <c r="D62" s="40">
        <f>C61-C62</f>
        <v>12.973453799999994</v>
      </c>
      <c r="E62" s="44">
        <f>IFERROR(D62/C61,0)</f>
        <v>0.64556899440130666</v>
      </c>
      <c r="F62" s="56">
        <f>$C$61</f>
        <v>20.096153799999996</v>
      </c>
      <c r="G62" s="56"/>
      <c r="H62" s="28"/>
      <c r="I62" s="73"/>
      <c r="J62" s="73"/>
      <c r="K62" s="28"/>
      <c r="L62" s="55"/>
      <c r="M62" s="91"/>
    </row>
    <row r="63" spans="1:13" s="30" customFormat="1" ht="40.200000000000003" customHeight="1">
      <c r="B63" s="43" t="s">
        <v>99</v>
      </c>
      <c r="C63" s="40">
        <f>'Part L Outputs'!R96/1000</f>
        <v>7.1227000000000009</v>
      </c>
      <c r="D63" s="40">
        <f>C62-C63</f>
        <v>0</v>
      </c>
      <c r="E63" s="44">
        <f>IFERROR(D63/C61,0)</f>
        <v>0</v>
      </c>
      <c r="F63" s="56">
        <f>$C$61</f>
        <v>20.096153799999996</v>
      </c>
      <c r="G63" s="56"/>
      <c r="H63" s="28"/>
      <c r="I63" s="73"/>
      <c r="J63" s="73"/>
      <c r="K63" s="28"/>
      <c r="L63" s="55"/>
      <c r="M63" s="91"/>
    </row>
    <row r="64" spans="1:13" s="30" customFormat="1" ht="64.8">
      <c r="B64" s="43" t="s">
        <v>100</v>
      </c>
      <c r="C64" s="40">
        <f>'Part L Outputs'!T96/1000</f>
        <v>3.6271724000000005</v>
      </c>
      <c r="D64" s="40">
        <f>C63-C64</f>
        <v>3.4955276000000004</v>
      </c>
      <c r="E64" s="44">
        <f>IFERROR(D64/C61,0)</f>
        <v>0.1739401297774702</v>
      </c>
      <c r="F64" s="56">
        <f>$C$61</f>
        <v>20.096153799999996</v>
      </c>
      <c r="G64" s="56"/>
      <c r="H64" s="71"/>
      <c r="I64" s="71" t="s">
        <v>258</v>
      </c>
      <c r="J64" s="71" t="s">
        <v>158</v>
      </c>
      <c r="K64" s="28"/>
      <c r="L64" s="55"/>
      <c r="M64" s="91"/>
    </row>
    <row r="65" spans="1:14" s="30" customFormat="1" ht="40.200000000000003" customHeight="1">
      <c r="B65" s="43" t="s">
        <v>101</v>
      </c>
      <c r="C65" s="45" t="s">
        <v>22</v>
      </c>
      <c r="D65" s="40">
        <f>SUM(D62:D64)</f>
        <v>16.468981399999993</v>
      </c>
      <c r="E65" s="44">
        <f>IFERROR(D65/C61,0)</f>
        <v>0.81950912417877675</v>
      </c>
      <c r="F65" s="56">
        <f>$C$61</f>
        <v>20.096153799999996</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108.81517199999998</v>
      </c>
      <c r="E67" s="44" t="s">
        <v>22</v>
      </c>
      <c r="F67" s="53"/>
      <c r="G67" s="53"/>
      <c r="H67" s="28"/>
      <c r="I67" s="28"/>
      <c r="J67" s="28"/>
      <c r="K67" s="28"/>
      <c r="L67" s="55"/>
      <c r="M67" s="91"/>
    </row>
    <row r="68" spans="1:14" s="28" customFormat="1" ht="15">
      <c r="C68" s="73"/>
      <c r="D68" s="73"/>
      <c r="L68" s="55"/>
      <c r="M68" s="29"/>
    </row>
    <row r="69" spans="1:14" ht="24.6">
      <c r="A69" s="57"/>
      <c r="B69" s="310" t="s">
        <v>106</v>
      </c>
      <c r="C69" s="310"/>
      <c r="D69" s="310"/>
      <c r="E69" s="310"/>
      <c r="F69" s="310"/>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3" t="s">
        <v>108</v>
      </c>
      <c r="H71" s="303"/>
      <c r="I71" s="295" t="s">
        <v>109</v>
      </c>
      <c r="J71" s="304"/>
      <c r="K71" s="305"/>
      <c r="M71" s="91"/>
    </row>
    <row r="72" spans="1:14" ht="67.2"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6" t="str">
        <f>IF('EUI &amp; space heating demand'!$B$6="","",CONCATENATE('EUI &amp; space heating demand'!R6, " &amp; ", 'EUI &amp; space heating demand'!S6,  " dwellings / ", 'EUI &amp; space heating demand'!R7, " &amp; ", 'EUI &amp; space heating demand'!S7, " Landlord Circulation " ))</f>
        <v/>
      </c>
      <c r="H72" s="317"/>
      <c r="I72" s="297" t="str">
        <f>IF('EUI &amp; space heating demand'!T6="","", CONCATENATE('EUI &amp; space heating demand'!T6, " &amp; ", 'EUI &amp; space heating demand'!T7))</f>
        <v/>
      </c>
      <c r="J72" s="297"/>
      <c r="K72" s="298"/>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20.096153799999996</v>
      </c>
      <c r="E7" s="135">
        <f t="shared" ref="E7:E12" si="0">D7*0.65</f>
        <v>13.062499969999998</v>
      </c>
    </row>
    <row r="8" spans="1:5">
      <c r="A8" s="134" t="s">
        <v>98</v>
      </c>
      <c r="B8" s="136">
        <f>'GLA Summary Tables'!C9</f>
        <v>7.1227000000000009</v>
      </c>
      <c r="C8" s="136">
        <f>IF(B8&lt;0,IF('GLA Summary Tables'!C18&lt;0,0,'GLA Summary Tables'!C18)+B8,IF('GLA Summary Tables'!C18&lt;0,0,'GLA Summary Tables'!C18))</f>
        <v>12.973453799999994</v>
      </c>
      <c r="D8" s="135">
        <f>'GLA Summary Tables'!C$8</f>
        <v>20.096153799999996</v>
      </c>
      <c r="E8" s="135">
        <f t="shared" si="0"/>
        <v>13.062499969999998</v>
      </c>
    </row>
    <row r="9" spans="1:5">
      <c r="A9" s="134" t="s">
        <v>112</v>
      </c>
      <c r="B9" s="136">
        <f>'GLA Summary Tables'!C10</f>
        <v>7.1227000000000009</v>
      </c>
      <c r="C9" s="136">
        <f>IF(B9&lt;0,IF('GLA Summary Tables'!C19&lt;0,0,'GLA Summary Tables'!C19)+B9,IF('GLA Summary Tables'!C19&lt;0,0,'GLA Summary Tables'!C19))</f>
        <v>0</v>
      </c>
      <c r="D9" s="135">
        <f>'GLA Summary Tables'!C$8</f>
        <v>20.096153799999996</v>
      </c>
      <c r="E9" s="135">
        <f t="shared" si="0"/>
        <v>13.062499969999998</v>
      </c>
    </row>
    <row r="10" spans="1:5">
      <c r="A10" s="134" t="s">
        <v>113</v>
      </c>
      <c r="B10" s="136">
        <f>'GLA Summary Tables'!C11</f>
        <v>3.6271724000000005</v>
      </c>
      <c r="C10" s="136">
        <f>IF(B10&lt;0,IF('GLA Summary Tables'!C20&lt;0,0,'GLA Summary Tables'!C20)+B10,IF('GLA Summary Tables'!C20&lt;0,0,'GLA Summary Tables'!C20))</f>
        <v>3.4955276000000004</v>
      </c>
      <c r="D10" s="135">
        <f>'GLA Summary Tables'!C$8</f>
        <v>20.096153799999996</v>
      </c>
      <c r="E10" s="135">
        <f t="shared" si="0"/>
        <v>13.062499969999998</v>
      </c>
    </row>
    <row r="11" spans="1:5">
      <c r="A11" s="134" t="s">
        <v>114</v>
      </c>
      <c r="B11" s="136">
        <v>0</v>
      </c>
      <c r="C11" s="136">
        <f>'GLA Summary Tables'!C22</f>
        <v>3.6271723999999992</v>
      </c>
      <c r="D11" s="135">
        <f>'GLA Summary Tables'!C$8</f>
        <v>20.096153799999996</v>
      </c>
      <c r="E11" s="135">
        <f t="shared" si="0"/>
        <v>13.062499969999998</v>
      </c>
    </row>
    <row r="12" spans="1:5">
      <c r="A12" s="134"/>
      <c r="B12" s="133"/>
      <c r="C12" s="133"/>
      <c r="D12" s="135">
        <f>'GLA Summary Tables'!C$8</f>
        <v>20.096153799999996</v>
      </c>
      <c r="E12" s="135">
        <f t="shared" si="0"/>
        <v>13.062499969999998</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bff3fb-6f41-4ad5-9151-dba8c6acf868">
      <Terms xmlns="http://schemas.microsoft.com/office/infopath/2007/PartnerControls"/>
    </lcf76f155ced4ddcb4097134ff3c332f>
    <TaxCatchAll xmlns="43b337bf-80c2-4cb3-b87e-958a5ec256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7" ma:contentTypeDescription="Create a new document." ma:contentTypeScope="" ma:versionID="eb530cdeeabe0751a3f18e2df4afde4f">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48dfd47dd643aeb61763bb319888a1bd"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05bff3fb-6f41-4ad5-9151-dba8c6acf868"/>
    <ds:schemaRef ds:uri="43b337bf-80c2-4cb3-b87e-958a5ec2569c"/>
  </ds:schemaRefs>
</ds:datastoreItem>
</file>

<file path=customXml/itemProps2.xml><?xml version="1.0" encoding="utf-8"?>
<ds:datastoreItem xmlns:ds="http://schemas.openxmlformats.org/officeDocument/2006/customXml" ds:itemID="{4C639D12-6312-4C09-9F8B-21CA3472E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ff3fb-6f41-4ad5-9151-dba8c6acf868"/>
    <ds:schemaRef ds:uri="43b337bf-80c2-4cb3-b87e-958a5ec25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2023-12-21T09:10:22Z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