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8BCE6F94-35D9-4888-945C-20C5ED52AE47}" xr6:coauthVersionLast="47" xr6:coauthVersionMax="47" xr10:uidLastSave="{00000000-0000-0000-0000-000000000000}"/>
  <bookViews>
    <workbookView xWindow="43080" yWindow="3360" windowWidth="29040" windowHeight="158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Q8" i="2"/>
  <c r="T8" i="2"/>
  <c r="L9" i="2"/>
  <c r="M9" i="2"/>
  <c r="N9" i="2"/>
  <c r="Q9" i="2"/>
  <c r="T9" i="2"/>
  <c r="L10" i="2"/>
  <c r="M10" i="2"/>
  <c r="N10" i="2"/>
  <c r="O10" i="2" s="1"/>
  <c r="Q10" i="2"/>
  <c r="R10" i="2" s="1"/>
  <c r="T10" i="2"/>
  <c r="L11" i="2"/>
  <c r="M11" i="2"/>
  <c r="N11" i="2"/>
  <c r="O11" i="2" s="1"/>
  <c r="Q11" i="2"/>
  <c r="T11" i="2"/>
  <c r="L12" i="2"/>
  <c r="M12" i="2"/>
  <c r="N12" i="2"/>
  <c r="Q12" i="2"/>
  <c r="R12" i="2" s="1"/>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8" i="2" l="1"/>
  <c r="U8" i="2" s="1"/>
  <c r="O9" i="2"/>
  <c r="P9" i="2" s="1"/>
  <c r="O12" i="2"/>
  <c r="S12" i="2" s="1"/>
  <c r="R9" i="2"/>
  <c r="U9" i="2" s="1"/>
  <c r="O8" i="2"/>
  <c r="P8" i="2" s="1"/>
  <c r="U12" i="2"/>
  <c r="R11" i="2"/>
  <c r="U11" i="2" s="1"/>
  <c r="U10" i="2"/>
  <c r="S10" i="2"/>
  <c r="P10" i="2"/>
  <c r="S15" i="2"/>
  <c r="P11" i="2"/>
  <c r="S13" i="2"/>
  <c r="P13" i="2"/>
  <c r="P12" i="2" l="1"/>
  <c r="S9" i="2"/>
  <c r="S8" i="2"/>
  <c r="S11"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<sst xmlns="http://schemas.openxmlformats.org/spreadsheetml/2006/main" count="401" uniqueCount="260">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</sst>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7.0916249999999987</c:v>
                </c:pt>
                <c:pt idx="2">
                  <c:v>7.0916249999999987</c:v>
                </c:pt>
                <c:pt idx="3">
                  <c:v>1.8878999999999999</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2.1825750000000017</c:v>
                </c:pt>
                <c:pt idx="2">
                  <c:v>0</c:v>
                </c:pt>
                <c:pt idx="3">
                  <c:v>5.2037249999999986</c:v>
                </c:pt>
                <c:pt idx="4">
                  <c:v>1.8879000000000001</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9.2742000000000004</c:v>
                </c:pt>
                <c:pt idx="1">
                  <c:v>9.2742000000000004</c:v>
                </c:pt>
                <c:pt idx="2">
                  <c:v>9.2742000000000004</c:v>
                </c:pt>
                <c:pt idx="3">
                  <c:v>9.2742000000000004</c:v>
                </c:pt>
                <c:pt idx="4">
                  <c:v>9.2742000000000004</c:v>
                </c:pt>
                <c:pt idx="5">
                  <c:v>9.2742000000000004</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6.0282300000000006</c:v>
                </c:pt>
                <c:pt idx="1">
                  <c:v>6.0282300000000006</c:v>
                </c:pt>
                <c:pt idx="2">
                  <c:v>6.0282300000000006</c:v>
                </c:pt>
                <c:pt idx="3">
                  <c:v>6.0282300000000006</c:v>
                </c:pt>
                <c:pt idx="4">
                  <c:v>6.0282300000000006</c:v>
                </c:pt>
                <c:pt idx="5">
                  <c:v>6.0282300000000006</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aseenergy.sharepoint.com/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3046875" style="219" customWidth="1"/>
    <col min="2" max="2" width="19" style="219" customWidth="1"/>
    <col min="3" max="11" width="8.265625" style="219" customWidth="1"/>
    <col min="12" max="12" width="47.59765625" style="219" customWidth="1"/>
    <col min="13" max="13" width="52.597656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65" customHeight="1">
      <c r="A4" s="229" t="s">
        <v>246</v>
      </c>
      <c r="B4" s="229"/>
      <c r="C4" s="229"/>
      <c r="D4" s="229"/>
      <c r="E4" s="229"/>
      <c r="F4" s="229"/>
      <c r="G4" s="229"/>
      <c r="H4" s="229"/>
      <c r="I4" s="229"/>
      <c r="J4" s="229"/>
      <c r="K4" s="229"/>
      <c r="L4" s="229"/>
    </row>
    <row r="5" spans="1:16384" ht="41.65" customHeight="1">
      <c r="A5" s="229" t="s">
        <v>247</v>
      </c>
      <c r="B5" s="229"/>
      <c r="C5" s="229"/>
      <c r="D5" s="229"/>
      <c r="E5" s="229"/>
      <c r="F5" s="229"/>
      <c r="G5" s="229"/>
      <c r="H5" s="229"/>
      <c r="I5" s="229"/>
      <c r="J5" s="229"/>
      <c r="K5" s="229"/>
      <c r="L5" s="229"/>
    </row>
    <row r="6" spans="1:16384" ht="32.65"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25" zoomScaleNormal="100" workbookViewId="0">
      <selection activeCell="A7" sqref="A7"/>
    </sheetView>
  </sheetViews>
  <sheetFormatPr defaultColWidth="0" defaultRowHeight="11.65" zeroHeight="1"/>
  <cols>
    <col min="1" max="1" width="41" style="202" bestFit="1" customWidth="1"/>
    <col min="2" max="3" width="39.73046875" style="202" customWidth="1"/>
    <col min="4" max="4" width="19.59765625" style="202" customWidth="1"/>
    <col min="5" max="5" width="39" style="202" customWidth="1"/>
    <col min="6" max="6" width="99.265625" style="202" customWidth="1"/>
    <col min="7" max="7" width="65" style="202" customWidth="1"/>
    <col min="8" max="11" width="8.265625" style="202" customWidth="1"/>
    <col min="12" max="16384" width="8.265625" style="202" hidden="1"/>
  </cols>
  <sheetData>
    <row r="1" spans="1:6" s="199" customFormat="1" ht="15" customHeight="1">
      <c r="A1" s="198" t="s">
        <v>159</v>
      </c>
      <c r="B1" s="198"/>
      <c r="C1" s="198"/>
      <c r="F1" s="200"/>
    </row>
    <row r="2" spans="1:6" ht="37.5" customHeight="1">
      <c r="A2" s="235" t="s">
        <v>160</v>
      </c>
      <c r="B2" s="235"/>
      <c r="C2" s="201"/>
    </row>
    <row r="3" spans="1:6" ht="37.5" customHeight="1">
      <c r="A3" s="235" t="s">
        <v>161</v>
      </c>
      <c r="B3" s="235"/>
      <c r="C3" s="201"/>
    </row>
    <row r="4" spans="1:6" ht="37.5" customHeight="1">
      <c r="A4" s="235" t="s">
        <v>162</v>
      </c>
      <c r="B4" s="235"/>
      <c r="C4" s="201"/>
    </row>
    <row r="5" spans="1:6" ht="61.5" customHeight="1">
      <c r="A5" s="235" t="s">
        <v>163</v>
      </c>
      <c r="B5" s="235"/>
      <c r="C5" s="201"/>
      <c r="D5" s="203"/>
    </row>
    <row r="6" spans="1:6" ht="12" thickBot="1"/>
    <row r="7" spans="1:6" ht="23.65" thickTop="1">
      <c r="A7" s="204" t="s">
        <v>164</v>
      </c>
      <c r="B7" s="205"/>
      <c r="C7" s="205" t="s">
        <v>165</v>
      </c>
      <c r="D7" s="205" t="s">
        <v>166</v>
      </c>
      <c r="E7" s="206" t="s">
        <v>167</v>
      </c>
    </row>
    <row r="8" spans="1:6" ht="23.25">
      <c r="A8" s="236" t="s">
        <v>168</v>
      </c>
      <c r="B8" s="207" t="s">
        <v>0</v>
      </c>
      <c r="C8" s="207" t="s">
        <v>1</v>
      </c>
      <c r="D8" s="208"/>
      <c r="E8" s="208"/>
    </row>
    <row r="9" spans="1:6" ht="23.25">
      <c r="A9" s="236"/>
      <c r="B9" s="207" t="s">
        <v>2</v>
      </c>
      <c r="C9" s="207" t="s">
        <v>3</v>
      </c>
      <c r="D9" s="208"/>
      <c r="E9" s="208"/>
    </row>
    <row r="10" spans="1:6" ht="46.5">
      <c r="A10" s="236"/>
      <c r="B10" s="207" t="s">
        <v>4</v>
      </c>
      <c r="C10" s="207" t="s">
        <v>169</v>
      </c>
      <c r="D10" s="224"/>
      <c r="E10" s="208"/>
    </row>
    <row r="11" spans="1:6" ht="23.25">
      <c r="A11" s="236"/>
      <c r="B11" s="207" t="s">
        <v>170</v>
      </c>
      <c r="C11" s="207"/>
      <c r="D11" s="208"/>
      <c r="E11" s="208"/>
      <c r="F11" s="209"/>
    </row>
    <row r="12" spans="1:6" ht="25.5" customHeight="1">
      <c r="A12" s="236"/>
      <c r="B12" s="207" t="s">
        <v>171</v>
      </c>
      <c r="C12" s="207"/>
      <c r="D12" s="225"/>
      <c r="E12" s="208"/>
    </row>
    <row r="13" spans="1:6" ht="25.5" customHeight="1">
      <c r="A13" s="236"/>
      <c r="B13" s="207" t="s">
        <v>172</v>
      </c>
      <c r="C13" s="207"/>
      <c r="D13" s="224"/>
      <c r="E13" s="208"/>
    </row>
    <row r="14" spans="1:6" ht="23.25">
      <c r="A14" s="232" t="s">
        <v>173</v>
      </c>
      <c r="B14" s="207" t="s">
        <v>174</v>
      </c>
      <c r="C14" s="207"/>
      <c r="D14" s="208"/>
      <c r="E14" s="208"/>
    </row>
    <row r="15" spans="1:6" ht="23.25">
      <c r="A15" s="233"/>
      <c r="B15" s="207" t="s">
        <v>175</v>
      </c>
      <c r="C15" s="207"/>
      <c r="D15" s="208"/>
      <c r="E15" s="208"/>
    </row>
    <row r="16" spans="1:6" ht="23.25">
      <c r="A16" s="233"/>
      <c r="B16" s="207" t="s">
        <v>176</v>
      </c>
      <c r="C16" s="207"/>
      <c r="D16" s="208"/>
      <c r="E16" s="208"/>
    </row>
    <row r="17" spans="1:6" ht="23.25">
      <c r="A17" s="233"/>
      <c r="B17" s="207" t="s">
        <v>177</v>
      </c>
      <c r="C17" s="207"/>
      <c r="D17" s="208"/>
      <c r="E17" s="208"/>
    </row>
    <row r="18" spans="1:6" ht="14.65" customHeight="1">
      <c r="A18" s="233"/>
      <c r="B18" s="207" t="s">
        <v>178</v>
      </c>
      <c r="C18" s="207"/>
      <c r="D18" s="224"/>
      <c r="E18" s="208"/>
    </row>
    <row r="19" spans="1:6" ht="14.65" customHeight="1">
      <c r="A19" s="233"/>
      <c r="B19" s="207" t="s">
        <v>179</v>
      </c>
      <c r="C19" s="207"/>
      <c r="D19" s="224"/>
      <c r="E19" s="208"/>
    </row>
    <row r="20" spans="1:6" ht="14.65" customHeight="1">
      <c r="A20" s="234"/>
      <c r="B20" s="207" t="s">
        <v>180</v>
      </c>
      <c r="C20" s="207"/>
      <c r="D20" s="208"/>
      <c r="E20" s="208"/>
    </row>
    <row r="21" spans="1:6" ht="14.65" customHeight="1">
      <c r="A21" s="232" t="s">
        <v>181</v>
      </c>
      <c r="B21" s="210" t="s">
        <v>182</v>
      </c>
      <c r="C21" s="210"/>
      <c r="D21" s="208"/>
      <c r="E21" s="208"/>
    </row>
    <row r="22" spans="1:6" ht="23.25">
      <c r="A22" s="233"/>
      <c r="B22" s="210" t="s">
        <v>183</v>
      </c>
      <c r="C22" s="210"/>
      <c r="D22" s="208"/>
      <c r="E22" s="208"/>
    </row>
    <row r="23" spans="1:6" ht="14.65" customHeight="1">
      <c r="A23" s="233"/>
      <c r="B23" s="210" t="s">
        <v>184</v>
      </c>
      <c r="C23" s="210"/>
      <c r="D23" s="208"/>
      <c r="E23" s="208"/>
      <c r="F23" s="211"/>
    </row>
    <row r="24" spans="1:6" ht="14.65" customHeight="1">
      <c r="A24" s="234"/>
      <c r="B24" s="210" t="s">
        <v>185</v>
      </c>
      <c r="C24" s="210"/>
      <c r="D24" s="208"/>
      <c r="E24" s="208"/>
      <c r="F24" s="211"/>
    </row>
    <row r="25" spans="1:6" ht="23.25">
      <c r="A25" s="232" t="s">
        <v>186</v>
      </c>
      <c r="B25" s="207" t="s">
        <v>187</v>
      </c>
      <c r="C25" s="207"/>
      <c r="D25" s="208"/>
      <c r="E25" s="208"/>
    </row>
    <row r="26" spans="1:6">
      <c r="A26" s="233"/>
      <c r="B26" s="207" t="s">
        <v>188</v>
      </c>
      <c r="C26" s="207"/>
      <c r="D26" s="208"/>
      <c r="E26" s="208"/>
    </row>
    <row r="27" spans="1:6">
      <c r="A27" s="233"/>
      <c r="B27" s="207" t="s">
        <v>189</v>
      </c>
      <c r="C27" s="207"/>
      <c r="D27" s="208"/>
      <c r="E27" s="208"/>
    </row>
    <row r="28" spans="1:6" ht="12.4">
      <c r="A28" s="233"/>
      <c r="B28" s="207" t="s">
        <v>190</v>
      </c>
      <c r="C28" s="207"/>
      <c r="D28" s="224"/>
      <c r="E28" s="208"/>
    </row>
    <row r="29" spans="1:6" ht="34.9">
      <c r="A29" s="234"/>
      <c r="B29" s="207" t="s">
        <v>191</v>
      </c>
      <c r="C29" s="207" t="s">
        <v>192</v>
      </c>
      <c r="D29" s="208"/>
      <c r="E29" s="208"/>
    </row>
    <row r="30" spans="1:6" ht="23.25">
      <c r="A30" s="232" t="s">
        <v>193</v>
      </c>
      <c r="B30" s="207" t="s">
        <v>194</v>
      </c>
      <c r="C30" s="207" t="s">
        <v>195</v>
      </c>
      <c r="D30" s="208"/>
      <c r="E30" s="208"/>
      <c r="F30" s="212"/>
    </row>
    <row r="31" spans="1:6" ht="46.5">
      <c r="A31" s="233"/>
      <c r="B31" s="207" t="s">
        <v>196</v>
      </c>
      <c r="C31" s="207" t="s">
        <v>257</v>
      </c>
      <c r="D31" s="208"/>
      <c r="E31" s="208"/>
    </row>
    <row r="32" spans="1:6">
      <c r="A32" s="233"/>
      <c r="B32" s="207" t="s">
        <v>197</v>
      </c>
      <c r="C32" s="207"/>
      <c r="D32" s="208"/>
      <c r="E32" s="208"/>
    </row>
    <row r="33" spans="1:5">
      <c r="A33" s="233"/>
      <c r="B33" s="213" t="s">
        <v>198</v>
      </c>
      <c r="C33" s="207"/>
      <c r="D33" s="224"/>
      <c r="E33" s="208"/>
    </row>
    <row r="34" spans="1:5">
      <c r="A34" s="233"/>
      <c r="B34" s="213" t="s">
        <v>199</v>
      </c>
      <c r="C34" s="207"/>
      <c r="D34" s="224"/>
      <c r="E34" s="208"/>
    </row>
    <row r="35" spans="1:5">
      <c r="A35" s="234"/>
      <c r="B35" s="207" t="s">
        <v>200</v>
      </c>
      <c r="C35" s="207" t="s">
        <v>201</v>
      </c>
      <c r="D35" s="224"/>
      <c r="E35" s="208"/>
    </row>
    <row r="36" spans="1:5">
      <c r="A36" s="232" t="s">
        <v>202</v>
      </c>
      <c r="B36" s="207" t="s">
        <v>203</v>
      </c>
      <c r="C36" s="207"/>
      <c r="D36" s="208"/>
      <c r="E36" s="208"/>
    </row>
    <row r="37" spans="1:5">
      <c r="A37" s="233"/>
      <c r="B37" s="207" t="s">
        <v>204</v>
      </c>
      <c r="C37" s="207"/>
      <c r="D37" s="226"/>
      <c r="E37" s="208"/>
    </row>
    <row r="38" spans="1:5">
      <c r="A38" s="233"/>
      <c r="B38" s="207" t="s">
        <v>205</v>
      </c>
      <c r="C38" s="207"/>
      <c r="D38" s="224"/>
      <c r="E38" s="208"/>
    </row>
    <row r="39" spans="1:5">
      <c r="A39" s="233"/>
      <c r="B39" s="207" t="s">
        <v>206</v>
      </c>
      <c r="C39" s="207"/>
      <c r="D39" s="224"/>
      <c r="E39" s="208"/>
    </row>
    <row r="40" spans="1:5" ht="34.9">
      <c r="A40" s="233"/>
      <c r="B40" s="207" t="s">
        <v>207</v>
      </c>
      <c r="C40" s="207" t="s">
        <v>208</v>
      </c>
      <c r="D40" s="208"/>
      <c r="E40" s="208"/>
    </row>
    <row r="41" spans="1:5" ht="23.25">
      <c r="A41" s="233"/>
      <c r="B41" s="207" t="s">
        <v>209</v>
      </c>
      <c r="C41" s="207"/>
      <c r="D41" s="224"/>
      <c r="E41" s="208"/>
    </row>
    <row r="42" spans="1:5" ht="46.5">
      <c r="A42" s="233"/>
      <c r="B42" s="207" t="s">
        <v>210</v>
      </c>
      <c r="C42" s="213" t="s">
        <v>211</v>
      </c>
      <c r="D42" s="208"/>
      <c r="E42" s="208"/>
    </row>
    <row r="43" spans="1:5">
      <c r="A43" s="233"/>
      <c r="B43" s="207" t="s">
        <v>212</v>
      </c>
      <c r="C43" s="207"/>
      <c r="D43" s="224"/>
      <c r="E43" s="208"/>
    </row>
    <row r="44" spans="1:5">
      <c r="A44" s="233"/>
      <c r="B44" s="207" t="s">
        <v>213</v>
      </c>
      <c r="C44" s="207"/>
      <c r="D44" s="224"/>
      <c r="E44" s="208"/>
    </row>
    <row r="45" spans="1:5" ht="46.5">
      <c r="A45" s="234"/>
      <c r="B45" s="207" t="s">
        <v>214</v>
      </c>
      <c r="C45" s="207" t="s">
        <v>215</v>
      </c>
      <c r="D45" s="208"/>
      <c r="E45" s="208"/>
    </row>
    <row r="46" spans="1:5">
      <c r="A46" s="236" t="s">
        <v>216</v>
      </c>
      <c r="B46" s="207" t="s">
        <v>217</v>
      </c>
      <c r="C46" s="207"/>
      <c r="D46" s="208"/>
      <c r="E46" s="208"/>
    </row>
    <row r="47" spans="1:5" ht="34.9">
      <c r="A47" s="236"/>
      <c r="B47" s="207" t="s">
        <v>218</v>
      </c>
      <c r="C47" s="207"/>
      <c r="D47" s="208"/>
      <c r="E47" s="208"/>
    </row>
    <row r="48" spans="1:5">
      <c r="A48" s="236"/>
      <c r="B48" s="207" t="s">
        <v>219</v>
      </c>
      <c r="C48" s="207"/>
      <c r="D48" s="224"/>
      <c r="E48" s="208"/>
    </row>
    <row r="49" spans="1:5">
      <c r="A49" s="236"/>
      <c r="B49" s="207" t="s">
        <v>220</v>
      </c>
      <c r="C49" s="207"/>
      <c r="D49" s="224"/>
      <c r="E49" s="208"/>
    </row>
    <row r="50" spans="1:5" ht="13.9">
      <c r="A50" s="236"/>
      <c r="B50" s="207" t="s">
        <v>221</v>
      </c>
      <c r="C50" s="207"/>
      <c r="D50" s="224"/>
      <c r="E50" s="208"/>
    </row>
    <row r="51" spans="1:5">
      <c r="A51" s="236"/>
      <c r="B51" s="207" t="s">
        <v>222</v>
      </c>
      <c r="C51" s="207"/>
      <c r="D51" s="208"/>
      <c r="E51" s="208"/>
    </row>
    <row r="52" spans="1:5" ht="13.9">
      <c r="A52" s="236"/>
      <c r="B52" s="207" t="s">
        <v>223</v>
      </c>
      <c r="C52" s="207"/>
      <c r="D52" s="224"/>
      <c r="E52" s="208"/>
    </row>
    <row r="53" spans="1:5" ht="23.25">
      <c r="A53" s="232" t="s">
        <v>224</v>
      </c>
      <c r="B53" s="207" t="s">
        <v>225</v>
      </c>
      <c r="C53" s="207" t="s">
        <v>226</v>
      </c>
      <c r="D53" s="208"/>
      <c r="E53" s="208"/>
    </row>
    <row r="54" spans="1:5" ht="23.25">
      <c r="A54" s="233"/>
      <c r="B54" s="207" t="s">
        <v>227</v>
      </c>
      <c r="C54" s="207" t="s">
        <v>228</v>
      </c>
      <c r="D54" s="208"/>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58.15">
      <c r="A60" s="232" t="s">
        <v>235</v>
      </c>
      <c r="B60" s="207" t="s">
        <v>236</v>
      </c>
      <c r="C60" s="207" t="s">
        <v>237</v>
      </c>
      <c r="D60" s="208"/>
      <c r="E60" s="208"/>
    </row>
    <row r="61" spans="1:5" ht="20.25" customHeight="1">
      <c r="A61" s="233"/>
      <c r="B61" s="207" t="s">
        <v>238</v>
      </c>
      <c r="C61" s="207"/>
      <c r="D61" s="208"/>
      <c r="E61" s="208"/>
    </row>
    <row r="62" spans="1:5" ht="20.25" customHeight="1">
      <c r="A62" s="233"/>
      <c r="B62" s="207" t="s">
        <v>239</v>
      </c>
      <c r="C62" s="207" t="s">
        <v>240</v>
      </c>
      <c r="D62" s="224"/>
      <c r="E62" s="208"/>
    </row>
    <row r="63" spans="1:5" ht="20.25" customHeight="1">
      <c r="A63" s="234"/>
      <c r="B63" s="207" t="s">
        <v>241</v>
      </c>
      <c r="C63" s="207"/>
      <c r="D63" s="224"/>
      <c r="E63" s="208"/>
    </row>
    <row r="64" spans="1:5"/>
    <row r="65" spans="1:5" s="199" customFormat="1">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D12" zoomScale="80" zoomScaleNormal="80" workbookViewId="0">
      <selection activeCell="H10" sqref="H10"/>
    </sheetView>
  </sheetViews>
  <sheetFormatPr defaultColWidth="0" defaultRowHeight="13.5" zeroHeight="1"/>
  <cols>
    <col min="1" max="1" width="15.3984375" style="12" customWidth="1"/>
    <col min="2" max="4" width="15.3984375" style="3" customWidth="1"/>
    <col min="5" max="5" width="17.59765625" style="3" customWidth="1"/>
    <col min="6" max="6" width="17.59765625" style="2" customWidth="1"/>
    <col min="7" max="7" width="17.59765625" style="111" customWidth="1"/>
    <col min="8" max="8" width="17.59765625" style="3" customWidth="1"/>
    <col min="9" max="9" width="17.59765625" style="111" customWidth="1"/>
    <col min="10" max="10" width="17.59765625" style="2" customWidth="1"/>
    <col min="11" max="11" width="17.59765625" style="111" customWidth="1"/>
    <col min="12" max="14" width="17.59765625" style="2" customWidth="1"/>
    <col min="15" max="17" width="17.59765625" style="111" customWidth="1"/>
    <col min="18" max="19" width="17.59765625" style="3" customWidth="1"/>
    <col min="20" max="21" width="17.59765625" style="111" customWidth="1"/>
    <col min="22" max="22" width="13.265625" style="2" customWidth="1"/>
    <col min="23" max="23" width="12.3984375" style="2" customWidth="1"/>
    <col min="24" max="24" width="10.3984375" style="2" customWidth="1"/>
    <col min="25" max="25" width="9.3984375" style="2" customWidth="1"/>
    <col min="26" max="26" width="10.86328125" style="2" customWidth="1"/>
    <col min="27" max="16384" width="8.26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7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110">
        <v>870</v>
      </c>
      <c r="C7" s="110">
        <v>1</v>
      </c>
      <c r="D7" s="110">
        <v>870</v>
      </c>
      <c r="E7" s="164">
        <v>10.66</v>
      </c>
      <c r="F7" s="165">
        <v>-1556.175</v>
      </c>
      <c r="G7" s="166">
        <v>9.94</v>
      </c>
      <c r="H7" s="166">
        <v>9.94</v>
      </c>
      <c r="I7" s="166">
        <v>2.17</v>
      </c>
      <c r="J7" s="167">
        <v>53.79</v>
      </c>
      <c r="K7" s="167">
        <v>50.22</v>
      </c>
      <c r="L7" s="107">
        <f t="shared" ref="L7" si="0">IF($E7=0,"",D7*E7)</f>
        <v>9274.2000000000007</v>
      </c>
      <c r="M7" s="107">
        <f t="shared" ref="M7:M57" si="1">IF($F7=0,"",($F7/$B7)*$D7)</f>
        <v>-1556.175</v>
      </c>
      <c r="N7" s="107">
        <f t="shared" ref="N7:N57" si="2">IF($G7=0,"",$D7*$G7)</f>
        <v>8647.7999999999993</v>
      </c>
      <c r="O7" s="108">
        <f>IF($G7=0,"",$N7+M7)</f>
        <v>7091.6249999999991</v>
      </c>
      <c r="P7" s="108">
        <f>IF($G7=0,"",$L7-O7)</f>
        <v>2182.5750000000016</v>
      </c>
      <c r="Q7" s="108">
        <f t="shared" ref="Q7:Q57" si="3">IF($H7=0,"",$D7*$H7)</f>
        <v>8647.7999999999993</v>
      </c>
      <c r="R7" s="108">
        <f>IF($H7=0,"",$Q7+$M7)</f>
        <v>7091.6249999999991</v>
      </c>
      <c r="S7" s="108">
        <f>IF($H7=0,"",$O7-$R7)</f>
        <v>0</v>
      </c>
      <c r="T7" s="108">
        <f>IF($I7=0,"",$D7*$I7)</f>
        <v>1887.8999999999999</v>
      </c>
      <c r="U7" s="175">
        <f>IF($H7=0,"",$R7-$T7)</f>
        <v>5203.7249999999995</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870</v>
      </c>
      <c r="E58" s="128">
        <f t="shared" ref="E58" si="11">IFERROR(SUMPRODUCT($D$7:$D$57,E7:E57)/$D$58,0)</f>
        <v>10.66</v>
      </c>
      <c r="F58" s="127">
        <f t="shared" ref="F58" si="12">IFERROR(SUMPRODUCT($D$7:$D$57,F7:F57)/$D$58,0)</f>
        <v>-1556.175</v>
      </c>
      <c r="G58" s="127">
        <f t="shared" ref="G58:I58" si="13">IFERROR(SUMPRODUCT($D$7:$D$57,G7:G57)/$D$58,0)</f>
        <v>9.94</v>
      </c>
      <c r="H58" s="127">
        <f t="shared" si="13"/>
        <v>9.94</v>
      </c>
      <c r="I58" s="127">
        <f t="shared" si="13"/>
        <v>2.17</v>
      </c>
      <c r="J58" s="127">
        <f>IFERROR(SUMPRODUCT($D$7:$D$57,J7:J57)/$D$58,0)</f>
        <v>53.789999999999992</v>
      </c>
      <c r="K58" s="127">
        <f>IFERROR(SUMPRODUCT($D$7:$D$57,K7:K57)/$D$58,0)</f>
        <v>50.22</v>
      </c>
      <c r="L58" s="102">
        <f>SUM(L7:L57)</f>
        <v>9274.2000000000007</v>
      </c>
      <c r="M58" s="102">
        <f>SUM(M7:M57)</f>
        <v>-1556.175</v>
      </c>
      <c r="N58" s="102">
        <f t="shared" ref="N58:T58" si="14">SUM(N7:N57)</f>
        <v>8647.7999999999993</v>
      </c>
      <c r="O58" s="102">
        <f t="shared" si="14"/>
        <v>7091.6249999999991</v>
      </c>
      <c r="P58" s="102">
        <f t="shared" si="14"/>
        <v>2182.5750000000016</v>
      </c>
      <c r="Q58" s="102">
        <f t="shared" si="14"/>
        <v>8647.7999999999993</v>
      </c>
      <c r="R58" s="102">
        <f t="shared" si="14"/>
        <v>7091.6249999999991</v>
      </c>
      <c r="S58" s="102">
        <f t="shared" si="14"/>
        <v>0</v>
      </c>
      <c r="T58" s="102">
        <f t="shared" si="14"/>
        <v>1887.8999999999999</v>
      </c>
      <c r="U58" s="176">
        <f t="shared" ref="U58" si="15">SUM(U7:U57)</f>
        <v>5203.7249999999995</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4">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7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870</v>
      </c>
      <c r="E96" s="155" t="s">
        <v>22</v>
      </c>
      <c r="F96" s="155" t="s">
        <v>22</v>
      </c>
      <c r="G96" s="155" t="s">
        <v>22</v>
      </c>
      <c r="H96" s="155" t="s">
        <v>22</v>
      </c>
      <c r="I96" s="155" t="s">
        <v>22</v>
      </c>
      <c r="J96" s="122"/>
      <c r="K96" s="123"/>
      <c r="L96" s="156">
        <f>L58+L94</f>
        <v>9274.2000000000007</v>
      </c>
      <c r="M96" s="156">
        <f t="shared" ref="M96:T96" si="29">M58+M94</f>
        <v>-1556.175</v>
      </c>
      <c r="N96" s="156">
        <f t="shared" si="29"/>
        <v>8647.7999999999993</v>
      </c>
      <c r="O96" s="156">
        <f t="shared" si="29"/>
        <v>7091.6249999999991</v>
      </c>
      <c r="P96" s="156">
        <f t="shared" si="29"/>
        <v>2182.5750000000016</v>
      </c>
      <c r="Q96" s="156">
        <f t="shared" si="29"/>
        <v>8647.7999999999993</v>
      </c>
      <c r="R96" s="156">
        <f t="shared" si="29"/>
        <v>7091.6249999999991</v>
      </c>
      <c r="S96" s="156">
        <f t="shared" ref="S96" si="30">S58+S94</f>
        <v>0</v>
      </c>
      <c r="T96" s="156">
        <f t="shared" si="29"/>
        <v>1887.8999999999999</v>
      </c>
      <c r="U96" s="181">
        <f>U58+U94</f>
        <v>5203.7249999999995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t="13.9" hidden="1">
      <c r="A129" s="10"/>
      <c r="B129" s="11"/>
      <c r="C129" s="11"/>
      <c r="D129" s="11"/>
      <c r="E129" s="11"/>
      <c r="H129" s="11"/>
      <c r="R129" s="11"/>
      <c r="S129" s="11"/>
    </row>
    <row r="130" spans="1:19" ht="13.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sqref="A1:T1"/>
    </sheetView>
  </sheetViews>
  <sheetFormatPr defaultColWidth="0" defaultRowHeight="12.75" zeroHeight="1"/>
  <cols>
    <col min="1" max="1" width="22.59765625" style="60" customWidth="1"/>
    <col min="2" max="11" width="12.1328125" style="60" customWidth="1"/>
    <col min="12" max="13" width="12.1328125" style="61" customWidth="1"/>
    <col min="14" max="14" width="19" style="61" customWidth="1"/>
    <col min="15" max="15" width="21" style="61" customWidth="1"/>
    <col min="16" max="16" width="21.265625" style="61" customWidth="1"/>
    <col min="17" max="17" width="22.1328125" style="61" customWidth="1"/>
    <col min="18" max="18" width="20.1328125" style="60" customWidth="1"/>
    <col min="19" max="19" width="19.265625" style="60" customWidth="1"/>
    <col min="20" max="20" width="41.59765625" style="60" customWidth="1"/>
    <col min="21" max="26" width="8.73046875" style="60" customWidth="1"/>
    <col min="27" max="16384" width="8.7304687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7.649999999999999">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15"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650000000000006"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c r="C6" s="75"/>
      <c r="D6" s="75"/>
      <c r="E6" s="75"/>
      <c r="F6" s="75"/>
      <c r="G6" s="75"/>
      <c r="H6" s="75"/>
      <c r="I6" s="75"/>
      <c r="J6" s="75"/>
      <c r="K6" s="75"/>
      <c r="L6" s="76"/>
      <c r="M6" s="76"/>
      <c r="N6" s="278" t="str">
        <f>IF('EUI &amp; space heating demand'!B6="","",SUM('EUI &amp; space heating demand'!$D$6:$I$7)/SUM('EUI &amp; space heating demand'!$B$6:$B$7))</f>
        <v/>
      </c>
      <c r="O6" s="278" t="str">
        <f>IF('EUI &amp; space heating demand'!B6="","",'EUI &amp; space heating demand'!C6/'EUI &amp; space heating demand'!B6)</f>
        <v/>
      </c>
      <c r="P6" s="278" t="str">
        <f>IF('EUI &amp; space heating demand'!B6="","",Tables!B29)</f>
        <v/>
      </c>
      <c r="Q6" s="278" t="str">
        <f>IF('EUI &amp; space heating demand'!B6="","",Tables!C29)</f>
        <v/>
      </c>
      <c r="R6" s="77"/>
      <c r="S6" s="77"/>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649999999999999">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6" zoomScale="70" zoomScaleNormal="70" workbookViewId="0">
      <selection activeCell="E10" sqref="E10"/>
    </sheetView>
  </sheetViews>
  <sheetFormatPr defaultColWidth="8.265625" defaultRowHeight="12.75"/>
  <cols>
    <col min="1" max="1" width="5.59765625" style="2" customWidth="1"/>
    <col min="2" max="2" width="28.1328125" style="2" customWidth="1"/>
    <col min="3" max="4" width="28.1328125" style="16" customWidth="1"/>
    <col min="5" max="5" width="22.86328125" style="2" customWidth="1"/>
    <col min="6" max="6" width="24.265625" style="2" customWidth="1"/>
    <col min="7" max="7" width="5.59765625" style="2" customWidth="1"/>
    <col min="8" max="10" width="28.1328125" style="2" customWidth="1"/>
    <col min="11" max="11" width="18" style="2" customWidth="1"/>
    <col min="12" max="12" width="14.1328125" style="2" customWidth="1"/>
    <col min="13" max="13" width="10.86328125" style="2" customWidth="1"/>
    <col min="14" max="16384" width="8.2656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9.2742000000000004</v>
      </c>
      <c r="D8" s="66"/>
      <c r="E8" s="54"/>
      <c r="F8" s="26"/>
      <c r="G8" s="54"/>
      <c r="H8" s="24" t="s">
        <v>69</v>
      </c>
      <c r="I8" s="25">
        <f>'Part L Outputs'!L94/1000</f>
        <v>0</v>
      </c>
      <c r="J8" s="66"/>
      <c r="K8" s="81"/>
      <c r="L8" s="81"/>
      <c r="M8" s="90"/>
    </row>
    <row r="9" spans="1:13" s="27" customFormat="1" ht="45" customHeight="1">
      <c r="B9" s="24" t="s">
        <v>70</v>
      </c>
      <c r="C9" s="25">
        <f>'Part L Outputs'!O58/1000</f>
        <v>7.0916249999999987</v>
      </c>
      <c r="D9" s="66"/>
      <c r="E9" s="54"/>
      <c r="F9" s="26"/>
      <c r="G9" s="54"/>
      <c r="H9" s="24" t="s">
        <v>70</v>
      </c>
      <c r="I9" s="25">
        <f>'Part L Outputs'!O94/1000</f>
        <v>0</v>
      </c>
      <c r="J9" s="66"/>
      <c r="K9" s="81"/>
      <c r="L9" s="81"/>
      <c r="M9" s="90"/>
    </row>
    <row r="10" spans="1:13" s="27" customFormat="1" ht="45" customHeight="1">
      <c r="B10" s="24" t="s">
        <v>71</v>
      </c>
      <c r="C10" s="25">
        <f>'Part L Outputs'!R58/1000</f>
        <v>7.0916249999999987</v>
      </c>
      <c r="D10" s="66"/>
      <c r="E10" s="54"/>
      <c r="F10" s="26"/>
      <c r="G10" s="54"/>
      <c r="H10" s="24" t="s">
        <v>71</v>
      </c>
      <c r="I10" s="25">
        <f>'Part L Outputs'!R94/1000</f>
        <v>0</v>
      </c>
      <c r="J10" s="66"/>
      <c r="K10" s="81"/>
      <c r="L10" s="81"/>
      <c r="M10" s="90"/>
    </row>
    <row r="11" spans="1:13" s="27" customFormat="1" ht="45" customHeight="1">
      <c r="B11" s="24" t="s">
        <v>72</v>
      </c>
      <c r="C11" s="25">
        <f>'Part L Outputs'!T58/1000</f>
        <v>1.8878999999999999</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2.1825750000000017</v>
      </c>
      <c r="D18" s="31">
        <f>IFERROR(C18/C8,0)</f>
        <v>0.23533835802549025</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5.2037249999999986</v>
      </c>
      <c r="D20" s="31">
        <f>IFERROR(C20/C8,0)</f>
        <v>0.56109691401953787</v>
      </c>
      <c r="E20" s="28"/>
      <c r="F20" s="29"/>
      <c r="G20" s="28"/>
      <c r="H20" s="24" t="s">
        <v>81</v>
      </c>
      <c r="I20" s="25">
        <f>I10-I11</f>
        <v>0</v>
      </c>
      <c r="J20" s="31">
        <f>IFERROR(I20/I8,0)</f>
        <v>0</v>
      </c>
      <c r="K20" s="28"/>
      <c r="L20" s="28"/>
      <c r="M20" s="91"/>
    </row>
    <row r="21" spans="2:13" s="30" customFormat="1" ht="45" customHeight="1">
      <c r="B21" s="32" t="s">
        <v>82</v>
      </c>
      <c r="C21" s="33">
        <f>C8-C11</f>
        <v>7.3863000000000003</v>
      </c>
      <c r="D21" s="34">
        <f>IFERROR(C21/C8,0)</f>
        <v>0.79643527204502818</v>
      </c>
      <c r="E21" s="28"/>
      <c r="F21" s="29"/>
      <c r="G21" s="28"/>
      <c r="H21" s="32" t="s">
        <v>83</v>
      </c>
      <c r="I21" s="33">
        <f>I8-I11</f>
        <v>0</v>
      </c>
      <c r="J21" s="34">
        <f>IFERROR(I21/I8,0)</f>
        <v>0</v>
      </c>
      <c r="K21" s="92"/>
      <c r="L21" s="28"/>
      <c r="M21" s="91"/>
    </row>
    <row r="22" spans="2:13" s="30" customFormat="1" ht="45" customHeight="1">
      <c r="B22" s="24" t="s">
        <v>84</v>
      </c>
      <c r="C22" s="25">
        <f>(C8-C21)</f>
        <v>1.8879000000000001</v>
      </c>
      <c r="D22" s="35" t="s">
        <v>22</v>
      </c>
      <c r="E22" s="28"/>
      <c r="F22" s="29"/>
      <c r="G22" s="28"/>
      <c r="H22" s="24" t="s">
        <v>84</v>
      </c>
      <c r="I22" s="25">
        <f>(I8-I21)</f>
        <v>0</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56.637</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5380.5150000000003</v>
      </c>
      <c r="D25" s="35"/>
      <c r="E25" s="28"/>
      <c r="F25" s="29"/>
      <c r="G25" s="28"/>
      <c r="H25" s="32" t="s">
        <v>87</v>
      </c>
      <c r="I25" s="36">
        <f>IFERROR(IF('Development Information'!$D$10=0,I22*95*30,I22*'Development Information'!$D$10*30),"")</f>
        <v>0</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5.15">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9.2742000000000004</v>
      </c>
      <c r="D61" s="41"/>
      <c r="E61" s="42"/>
      <c r="F61" s="56">
        <f>$C$61</f>
        <v>9.2742000000000004</v>
      </c>
      <c r="G61" s="56"/>
      <c r="H61" s="48" t="s">
        <v>97</v>
      </c>
      <c r="I61" s="49">
        <f>IFERROR('Part L Outputs'!J58,"")</f>
        <v>53.789999999999992</v>
      </c>
      <c r="J61" s="49">
        <f>IFERROR('Part L Outputs'!K58,"")</f>
        <v>50.22</v>
      </c>
      <c r="K61" s="44">
        <f>IFERROR(1-J61/I61,"")</f>
        <v>6.6369213608477251E-2</v>
      </c>
      <c r="L61" s="55"/>
      <c r="M61" s="91"/>
    </row>
    <row r="62" spans="1:13" s="30" customFormat="1" ht="40.15" customHeight="1">
      <c r="B62" s="43" t="s">
        <v>98</v>
      </c>
      <c r="C62" s="40">
        <f>'Part L Outputs'!O96/1000</f>
        <v>7.0916249999999987</v>
      </c>
      <c r="D62" s="40">
        <f>C61-C62</f>
        <v>2.1825750000000017</v>
      </c>
      <c r="E62" s="44">
        <f>IFERROR(D62/C61,0)</f>
        <v>0.23533835802549025</v>
      </c>
      <c r="F62" s="56">
        <f>$C$61</f>
        <v>9.2742000000000004</v>
      </c>
      <c r="G62" s="56"/>
      <c r="H62" s="28"/>
      <c r="I62" s="73"/>
      <c r="J62" s="73"/>
      <c r="K62" s="28"/>
      <c r="L62" s="55"/>
      <c r="M62" s="91"/>
    </row>
    <row r="63" spans="1:13" s="30" customFormat="1" ht="40.15" customHeight="1">
      <c r="B63" s="43" t="s">
        <v>99</v>
      </c>
      <c r="C63" s="40">
        <f>'Part L Outputs'!R96/1000</f>
        <v>7.0916249999999987</v>
      </c>
      <c r="D63" s="40">
        <f>C62-C63</f>
        <v>0</v>
      </c>
      <c r="E63" s="44">
        <f>IFERROR(D63/C61,0)</f>
        <v>0</v>
      </c>
      <c r="F63" s="56">
        <f>$C$61</f>
        <v>9.2742000000000004</v>
      </c>
      <c r="G63" s="56"/>
      <c r="H63" s="28"/>
      <c r="I63" s="73"/>
      <c r="J63" s="73"/>
      <c r="K63" s="28"/>
      <c r="L63" s="55"/>
      <c r="M63" s="91"/>
    </row>
    <row r="64" spans="1:13" s="30" customFormat="1" ht="61.9">
      <c r="B64" s="43" t="s">
        <v>100</v>
      </c>
      <c r="C64" s="40">
        <f>'Part L Outputs'!T96/1000</f>
        <v>1.8878999999999999</v>
      </c>
      <c r="D64" s="40">
        <f>C63-C64</f>
        <v>5.2037249999999986</v>
      </c>
      <c r="E64" s="44">
        <f>IFERROR(D64/C61,0)</f>
        <v>0.56109691401953787</v>
      </c>
      <c r="F64" s="56">
        <f>$C$61</f>
        <v>9.2742000000000004</v>
      </c>
      <c r="G64" s="56"/>
      <c r="H64" s="71"/>
      <c r="I64" s="71" t="s">
        <v>258</v>
      </c>
      <c r="J64" s="71" t="s">
        <v>158</v>
      </c>
      <c r="K64" s="28"/>
      <c r="L64" s="55"/>
      <c r="M64" s="91"/>
    </row>
    <row r="65" spans="1:14" s="30" customFormat="1" ht="40.15" customHeight="1">
      <c r="B65" s="43" t="s">
        <v>101</v>
      </c>
      <c r="C65" s="45" t="s">
        <v>22</v>
      </c>
      <c r="D65" s="40">
        <f>SUM(D62:D64)</f>
        <v>7.3863000000000003</v>
      </c>
      <c r="E65" s="44">
        <f>IFERROR(D65/C61,0)</f>
        <v>0.79643527204502818</v>
      </c>
      <c r="F65" s="56">
        <f>$C$61</f>
        <v>9.2742000000000004</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56.637</v>
      </c>
      <c r="E67" s="44" t="s">
        <v>22</v>
      </c>
      <c r="F67" s="53"/>
      <c r="G67" s="53"/>
      <c r="H67" s="28"/>
      <c r="I67" s="28"/>
      <c r="J67" s="28"/>
      <c r="K67" s="28"/>
      <c r="L67" s="55"/>
      <c r="M67" s="91"/>
    </row>
    <row r="68" spans="1:14" s="28" customFormat="1" ht="15">
      <c r="C68" s="73"/>
      <c r="D68" s="73"/>
      <c r="L68" s="55"/>
      <c r="M68" s="29"/>
    </row>
    <row r="69" spans="1:14" ht="25.15">
      <c r="A69" s="57"/>
      <c r="B69" s="301" t="s">
        <v>106</v>
      </c>
      <c r="C69" s="301"/>
      <c r="D69" s="301"/>
      <c r="E69" s="301"/>
      <c r="F69" s="301"/>
      <c r="G69" s="83"/>
      <c r="H69" s="83"/>
      <c r="I69" s="83"/>
      <c r="J69" s="83"/>
      <c r="K69" s="83"/>
      <c r="L69" s="82"/>
      <c r="M69" s="59"/>
    </row>
    <row r="70" spans="1:14" ht="44.1" customHeight="1">
      <c r="B70" s="189" t="s">
        <v>61</v>
      </c>
      <c r="L70" s="55"/>
      <c r="M70" s="17"/>
    </row>
    <row r="71" spans="1:14" ht="103.15">
      <c r="B71" s="71" t="s">
        <v>27</v>
      </c>
      <c r="C71" s="71" t="s">
        <v>44</v>
      </c>
      <c r="D71" s="71" t="s">
        <v>45</v>
      </c>
      <c r="E71" s="71" t="s">
        <v>46</v>
      </c>
      <c r="F71" s="71" t="s">
        <v>107</v>
      </c>
      <c r="G71" s="300" t="s">
        <v>108</v>
      </c>
      <c r="H71" s="300"/>
      <c r="I71" s="304" t="s">
        <v>109</v>
      </c>
      <c r="J71" s="313"/>
      <c r="K71" s="314"/>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06" t="str">
        <f>IF('EUI &amp; space heating demand'!$B$6="","",CONCATENATE('EUI &amp; space heating demand'!R6, " &amp; ", 'EUI &amp; space heating demand'!S6,  " dwellings / ", 'EUI &amp; space heating demand'!R7, " &amp; ", 'EUI &amp; space heating demand'!S7, " Landlord Circulation " ))</f>
        <v/>
      </c>
      <c r="H72" s="307"/>
      <c r="I72" s="295" t="str">
        <f>IF('EUI &amp; space heating demand'!T6="","", CONCATENATE('EUI &amp; space heating demand'!T6, " &amp; ", 'EUI &amp; space heating demand'!T7))</f>
        <v/>
      </c>
      <c r="J72" s="295"/>
      <c r="K72" s="296"/>
      <c r="M72" s="91"/>
    </row>
    <row r="73" spans="1:14" s="193" customFormat="1" ht="67.150000000000006" customHeight="1">
      <c r="B73" s="189" t="s">
        <v>63</v>
      </c>
      <c r="C73" s="194"/>
      <c r="D73" s="194"/>
      <c r="E73" s="195"/>
      <c r="F73" s="195"/>
      <c r="G73" s="196"/>
      <c r="H73" s="196"/>
      <c r="I73" s="196"/>
      <c r="J73" s="196"/>
      <c r="K73" s="196"/>
      <c r="M73" s="91"/>
      <c r="N73" s="2"/>
    </row>
    <row r="74" spans="1:14" ht="103.15">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25"/>
  <cols>
    <col min="1" max="1" width="27.86328125" bestFit="1" customWidth="1"/>
  </cols>
  <sheetData>
    <row r="3" spans="1:5" ht="15.75">
      <c r="A3" s="129" t="s">
        <v>135</v>
      </c>
      <c r="B3" s="129">
        <v>0.128744</v>
      </c>
    </row>
    <row r="5" spans="1:5">
      <c r="A5" s="131" t="s">
        <v>136</v>
      </c>
    </row>
    <row r="6" spans="1:5">
      <c r="A6" s="132" t="s">
        <v>110</v>
      </c>
      <c r="B6" s="133"/>
      <c r="C6" s="133"/>
      <c r="D6" s="134"/>
      <c r="E6" s="134"/>
    </row>
    <row r="7" spans="1:5">
      <c r="A7" s="134" t="s">
        <v>111</v>
      </c>
      <c r="B7" s="133"/>
      <c r="C7" s="133"/>
      <c r="D7" s="135">
        <f>'GLA Summary Tables'!C$8</f>
        <v>9.2742000000000004</v>
      </c>
      <c r="E7" s="135">
        <f t="shared" ref="E7:E12" si="0">D7*0.65</f>
        <v>6.0282300000000006</v>
      </c>
    </row>
    <row r="8" spans="1:5">
      <c r="A8" s="134" t="s">
        <v>98</v>
      </c>
      <c r="B8" s="136">
        <f>'GLA Summary Tables'!C9</f>
        <v>7.0916249999999987</v>
      </c>
      <c r="C8" s="136">
        <f>IF(B8&lt;0,IF('GLA Summary Tables'!C18&lt;0,0,'GLA Summary Tables'!C18)+B8,IF('GLA Summary Tables'!C18&lt;0,0,'GLA Summary Tables'!C18))</f>
        <v>2.1825750000000017</v>
      </c>
      <c r="D8" s="135">
        <f>'GLA Summary Tables'!C$8</f>
        <v>9.2742000000000004</v>
      </c>
      <c r="E8" s="135">
        <f t="shared" si="0"/>
        <v>6.0282300000000006</v>
      </c>
    </row>
    <row r="9" spans="1:5">
      <c r="A9" s="134" t="s">
        <v>112</v>
      </c>
      <c r="B9" s="136">
        <f>'GLA Summary Tables'!C10</f>
        <v>7.0916249999999987</v>
      </c>
      <c r="C9" s="136">
        <f>IF(B9&lt;0,IF('GLA Summary Tables'!C19&lt;0,0,'GLA Summary Tables'!C19)+B9,IF('GLA Summary Tables'!C19&lt;0,0,'GLA Summary Tables'!C19))</f>
        <v>0</v>
      </c>
      <c r="D9" s="135">
        <f>'GLA Summary Tables'!C$8</f>
        <v>9.2742000000000004</v>
      </c>
      <c r="E9" s="135">
        <f t="shared" si="0"/>
        <v>6.0282300000000006</v>
      </c>
    </row>
    <row r="10" spans="1:5">
      <c r="A10" s="134" t="s">
        <v>113</v>
      </c>
      <c r="B10" s="136">
        <f>'GLA Summary Tables'!C11</f>
        <v>1.8878999999999999</v>
      </c>
      <c r="C10" s="136">
        <f>IF(B10&lt;0,IF('GLA Summary Tables'!C20&lt;0,0,'GLA Summary Tables'!C20)+B10,IF('GLA Summary Tables'!C20&lt;0,0,'GLA Summary Tables'!C20))</f>
        <v>5.2037249999999986</v>
      </c>
      <c r="D10" s="135">
        <f>'GLA Summary Tables'!C$8</f>
        <v>9.2742000000000004</v>
      </c>
      <c r="E10" s="135">
        <f t="shared" si="0"/>
        <v>6.0282300000000006</v>
      </c>
    </row>
    <row r="11" spans="1:5">
      <c r="A11" s="134" t="s">
        <v>114</v>
      </c>
      <c r="B11" s="136">
        <v>0</v>
      </c>
      <c r="C11" s="136">
        <f>'GLA Summary Tables'!C22</f>
        <v>1.8879000000000001</v>
      </c>
      <c r="D11" s="135">
        <f>'GLA Summary Tables'!C$8</f>
        <v>9.2742000000000004</v>
      </c>
      <c r="E11" s="135">
        <f t="shared" si="0"/>
        <v>6.0282300000000006</v>
      </c>
    </row>
    <row r="12" spans="1:5">
      <c r="A12" s="134"/>
      <c r="B12" s="133"/>
      <c r="C12" s="133"/>
      <c r="D12" s="135">
        <f>'GLA Summary Tables'!C$8</f>
        <v>9.2742000000000004</v>
      </c>
      <c r="E12" s="135">
        <f t="shared" si="0"/>
        <v>6.0282300000000006</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8" ma:contentTypeDescription="Create a new document." ma:contentTypeScope="" ma:versionID="b67e7baac133cef608c85cac0cabe9e7">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d35ad4a01e9c3b7ca88ffd0f043b7ed6"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bff3fb-6f41-4ad5-9151-dba8c6acf868">
      <Terms xmlns="http://schemas.microsoft.com/office/infopath/2007/PartnerControls"/>
    </lcf76f155ced4ddcb4097134ff3c332f>
    <TaxCatchAll xmlns="43b337bf-80c2-4cb3-b87e-958a5ec2569c" xsi:nil="true"/>
  </documentManagement>
</p:properties>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C8885EB2-1C71-4290-9512-6B4D58F35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ff3fb-6f41-4ad5-9151-dba8c6acf868"/>
    <ds:schemaRef ds:uri="43b337bf-80c2-4cb3-b87e-958a5ec25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05bff3fb-6f41-4ad5-9151-dba8c6acf868"/>
    <ds:schemaRef ds:uri="43b337bf-80c2-4cb3-b87e-958a5ec256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2024-09-26T11:20:11Z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0x0101002EEA3875F187274ABB178BD519DC36EB</vt:lpwstr>
  </property>
  <property fmtid="{D5CDD505-2E9C-101B-9397-08002B2CF9AE}" pid="3" name="MediaServiceImageTags">
    <vt:lpwstr/>
  </property>
</Properties>
</file>